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lfal\Dropbox\Writings &amp; Insights\Project_Valuation (Chapter)_0222\Financial_Spreadsheets\"/>
    </mc:Choice>
  </mc:AlternateContent>
  <xr:revisionPtr revIDLastSave="0" documentId="13_ncr:1_{727F749C-4042-4681-BD5D-B94815519163}" xr6:coauthVersionLast="47" xr6:coauthVersionMax="47" xr10:uidLastSave="{00000000-0000-0000-0000-000000000000}"/>
  <bookViews>
    <workbookView xWindow="3546" yWindow="720" windowWidth="14406" windowHeight="8526" tabRatio="698" xr2:uid="{00000000-000D-0000-FFFF-FFFF00000000}"/>
  </bookViews>
  <sheets>
    <sheet name="Chapter 2" sheetId="23" r:id="rId1"/>
    <sheet name="Chapter 4" sheetId="24" r:id="rId2"/>
    <sheet name="Project NPV Evaluation Template" sheetId="11" r:id="rId3"/>
    <sheet name="Tornado Diagram Template" sheetId="21" r:id="rId4"/>
    <sheet name="WACC Calculation Template" sheetId="22" r:id="rId5"/>
    <sheet name="WACC_Industry Averages 2022" sheetId="25" r:id="rId6"/>
  </sheets>
  <definedNames>
    <definedName name="Junk" localSheetId="4">#REF!</definedName>
    <definedName name="Junk">#REF!</definedName>
    <definedName name="liqvalue" localSheetId="3">#REF!</definedName>
    <definedName name="liqvalue">#REF!</definedName>
    <definedName name="liqyr" localSheetId="3">#REF!</definedName>
    <definedName name="liqyr">#REF!</definedName>
    <definedName name="varvalu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3" i="23" l="1"/>
  <c r="E33" i="23" s="1"/>
  <c r="F33" i="23" s="1"/>
  <c r="G33" i="23" s="1"/>
  <c r="H33" i="23" s="1"/>
  <c r="I33" i="23" s="1"/>
  <c r="J33" i="23" s="1"/>
  <c r="K33" i="23" s="1"/>
  <c r="L33" i="23" s="1"/>
  <c r="M33" i="23" s="1"/>
  <c r="N33" i="23" s="1"/>
  <c r="E5" i="23"/>
  <c r="F5" i="23" s="1"/>
  <c r="G5" i="23" s="1"/>
  <c r="H5" i="23" s="1"/>
  <c r="I5" i="23" s="1"/>
  <c r="J5" i="23" s="1"/>
  <c r="K5" i="23" s="1"/>
  <c r="L5" i="23" s="1"/>
  <c r="M5" i="23" s="1"/>
  <c r="N5" i="23" s="1"/>
  <c r="N6" i="23" s="1"/>
  <c r="N7" i="23" s="1"/>
  <c r="E67" i="23"/>
  <c r="F67" i="23"/>
  <c r="G67" i="23"/>
  <c r="H67" i="23"/>
  <c r="I67" i="23"/>
  <c r="J67" i="23"/>
  <c r="K67" i="23"/>
  <c r="L67" i="23"/>
  <c r="M67" i="23"/>
  <c r="N67" i="23"/>
  <c r="D67" i="23"/>
  <c r="E66" i="23"/>
  <c r="F66" i="23" s="1"/>
  <c r="G66" i="23" s="1"/>
  <c r="H66" i="23" s="1"/>
  <c r="I66" i="23" s="1"/>
  <c r="J66" i="23" s="1"/>
  <c r="K66" i="23" s="1"/>
  <c r="L66" i="23" s="1"/>
  <c r="M66" i="23" s="1"/>
  <c r="N66" i="23" s="1"/>
  <c r="J115" i="25"/>
  <c r="G115" i="25"/>
  <c r="I115" i="25" s="1"/>
  <c r="D115" i="25"/>
  <c r="J114" i="25"/>
  <c r="G114" i="25"/>
  <c r="I114" i="25" s="1"/>
  <c r="D114" i="25"/>
  <c r="J113" i="25"/>
  <c r="G113" i="25"/>
  <c r="I113" i="25" s="1"/>
  <c r="D113" i="25"/>
  <c r="K113" i="25" s="1"/>
  <c r="L113" i="25" s="1"/>
  <c r="J112" i="25"/>
  <c r="I112" i="25"/>
  <c r="G112" i="25"/>
  <c r="D112" i="25"/>
  <c r="J111" i="25"/>
  <c r="G111" i="25"/>
  <c r="I111" i="25" s="1"/>
  <c r="D111" i="25"/>
  <c r="J110" i="25"/>
  <c r="G110" i="25"/>
  <c r="I110" i="25" s="1"/>
  <c r="D110" i="25"/>
  <c r="J109" i="25"/>
  <c r="G109" i="25"/>
  <c r="I109" i="25" s="1"/>
  <c r="D109" i="25"/>
  <c r="K109" i="25" s="1"/>
  <c r="L109" i="25" s="1"/>
  <c r="J108" i="25"/>
  <c r="I108" i="25"/>
  <c r="G108" i="25"/>
  <c r="D108" i="25"/>
  <c r="K108" i="25" s="1"/>
  <c r="L108" i="25" s="1"/>
  <c r="J107" i="25"/>
  <c r="G107" i="25"/>
  <c r="I107" i="25" s="1"/>
  <c r="D107" i="25"/>
  <c r="J106" i="25"/>
  <c r="G106" i="25"/>
  <c r="I106" i="25" s="1"/>
  <c r="D106" i="25"/>
  <c r="J105" i="25"/>
  <c r="G105" i="25"/>
  <c r="I105" i="25" s="1"/>
  <c r="D105" i="25"/>
  <c r="K105" i="25" s="1"/>
  <c r="L105" i="25" s="1"/>
  <c r="J104" i="25"/>
  <c r="I104" i="25"/>
  <c r="G104" i="25"/>
  <c r="D104" i="25"/>
  <c r="J103" i="25"/>
  <c r="G103" i="25"/>
  <c r="I103" i="25" s="1"/>
  <c r="D103" i="25"/>
  <c r="J102" i="25"/>
  <c r="G102" i="25"/>
  <c r="I102" i="25" s="1"/>
  <c r="D102" i="25"/>
  <c r="J101" i="25"/>
  <c r="G101" i="25"/>
  <c r="I101" i="25" s="1"/>
  <c r="D101" i="25"/>
  <c r="K101" i="25" s="1"/>
  <c r="L101" i="25" s="1"/>
  <c r="J100" i="25"/>
  <c r="I100" i="25"/>
  <c r="G100" i="25"/>
  <c r="D100" i="25"/>
  <c r="K100" i="25" s="1"/>
  <c r="L100" i="25" s="1"/>
  <c r="J99" i="25"/>
  <c r="G99" i="25"/>
  <c r="I99" i="25" s="1"/>
  <c r="D99" i="25"/>
  <c r="J98" i="25"/>
  <c r="G98" i="25"/>
  <c r="I98" i="25" s="1"/>
  <c r="D98" i="25"/>
  <c r="J97" i="25"/>
  <c r="G97" i="25"/>
  <c r="I97" i="25" s="1"/>
  <c r="D97" i="25"/>
  <c r="K97" i="25" s="1"/>
  <c r="L97" i="25" s="1"/>
  <c r="J96" i="25"/>
  <c r="I96" i="25"/>
  <c r="G96" i="25"/>
  <c r="D96" i="25"/>
  <c r="J95" i="25"/>
  <c r="G95" i="25"/>
  <c r="I95" i="25" s="1"/>
  <c r="D95" i="25"/>
  <c r="J94" i="25"/>
  <c r="G94" i="25"/>
  <c r="I94" i="25" s="1"/>
  <c r="D94" i="25"/>
  <c r="J93" i="25"/>
  <c r="G93" i="25"/>
  <c r="I93" i="25" s="1"/>
  <c r="D93" i="25"/>
  <c r="K93" i="25" s="1"/>
  <c r="L93" i="25" s="1"/>
  <c r="J92" i="25"/>
  <c r="I92" i="25"/>
  <c r="G92" i="25"/>
  <c r="D92" i="25"/>
  <c r="K92" i="25" s="1"/>
  <c r="L92" i="25" s="1"/>
  <c r="J91" i="25"/>
  <c r="G91" i="25"/>
  <c r="I91" i="25" s="1"/>
  <c r="D91" i="25"/>
  <c r="J90" i="25"/>
  <c r="G90" i="25"/>
  <c r="I90" i="25" s="1"/>
  <c r="D90" i="25"/>
  <c r="J89" i="25"/>
  <c r="G89" i="25"/>
  <c r="I89" i="25" s="1"/>
  <c r="D89" i="25"/>
  <c r="K89" i="25" s="1"/>
  <c r="L89" i="25" s="1"/>
  <c r="J88" i="25"/>
  <c r="I88" i="25"/>
  <c r="G88" i="25"/>
  <c r="D88" i="25"/>
  <c r="J87" i="25"/>
  <c r="G87" i="25"/>
  <c r="I87" i="25" s="1"/>
  <c r="D87" i="25"/>
  <c r="J86" i="25"/>
  <c r="G86" i="25"/>
  <c r="I86" i="25" s="1"/>
  <c r="D86" i="25"/>
  <c r="J85" i="25"/>
  <c r="G85" i="25"/>
  <c r="I85" i="25" s="1"/>
  <c r="D85" i="25"/>
  <c r="K85" i="25" s="1"/>
  <c r="L85" i="25" s="1"/>
  <c r="J84" i="25"/>
  <c r="I84" i="25"/>
  <c r="G84" i="25"/>
  <c r="D84" i="25"/>
  <c r="K84" i="25" s="1"/>
  <c r="L84" i="25" s="1"/>
  <c r="J83" i="25"/>
  <c r="G83" i="25"/>
  <c r="I83" i="25" s="1"/>
  <c r="D83" i="25"/>
  <c r="J82" i="25"/>
  <c r="G82" i="25"/>
  <c r="I82" i="25" s="1"/>
  <c r="D82" i="25"/>
  <c r="J81" i="25"/>
  <c r="G81" i="25"/>
  <c r="I81" i="25" s="1"/>
  <c r="D81" i="25"/>
  <c r="K81" i="25" s="1"/>
  <c r="L81" i="25" s="1"/>
  <c r="J80" i="25"/>
  <c r="I80" i="25"/>
  <c r="G80" i="25"/>
  <c r="D80" i="25"/>
  <c r="J79" i="25"/>
  <c r="G79" i="25"/>
  <c r="I79" i="25" s="1"/>
  <c r="D79" i="25"/>
  <c r="J78" i="25"/>
  <c r="G78" i="25"/>
  <c r="I78" i="25" s="1"/>
  <c r="D78" i="25"/>
  <c r="J77" i="25"/>
  <c r="G77" i="25"/>
  <c r="I77" i="25" s="1"/>
  <c r="D77" i="25"/>
  <c r="K77" i="25" s="1"/>
  <c r="L77" i="25" s="1"/>
  <c r="J76" i="25"/>
  <c r="I76" i="25"/>
  <c r="G76" i="25"/>
  <c r="D76" i="25"/>
  <c r="K76" i="25" s="1"/>
  <c r="L76" i="25" s="1"/>
  <c r="J75" i="25"/>
  <c r="G75" i="25"/>
  <c r="I75" i="25" s="1"/>
  <c r="D75" i="25"/>
  <c r="J74" i="25"/>
  <c r="G74" i="25"/>
  <c r="I74" i="25" s="1"/>
  <c r="D74" i="25"/>
  <c r="J73" i="25"/>
  <c r="G73" i="25"/>
  <c r="I73" i="25" s="1"/>
  <c r="D73" i="25"/>
  <c r="K73" i="25" s="1"/>
  <c r="L73" i="25" s="1"/>
  <c r="J72" i="25"/>
  <c r="I72" i="25"/>
  <c r="G72" i="25"/>
  <c r="D72" i="25"/>
  <c r="J71" i="25"/>
  <c r="G71" i="25"/>
  <c r="I71" i="25" s="1"/>
  <c r="D71" i="25"/>
  <c r="J70" i="25"/>
  <c r="G70" i="25"/>
  <c r="I70" i="25" s="1"/>
  <c r="D70" i="25"/>
  <c r="J69" i="25"/>
  <c r="G69" i="25"/>
  <c r="I69" i="25" s="1"/>
  <c r="D69" i="25"/>
  <c r="K69" i="25" s="1"/>
  <c r="L69" i="25" s="1"/>
  <c r="J68" i="25"/>
  <c r="I68" i="25"/>
  <c r="G68" i="25"/>
  <c r="D68" i="25"/>
  <c r="K68" i="25" s="1"/>
  <c r="L68" i="25" s="1"/>
  <c r="J67" i="25"/>
  <c r="G67" i="25"/>
  <c r="I67" i="25" s="1"/>
  <c r="D67" i="25"/>
  <c r="J66" i="25"/>
  <c r="G66" i="25"/>
  <c r="I66" i="25" s="1"/>
  <c r="D66" i="25"/>
  <c r="J65" i="25"/>
  <c r="G65" i="25"/>
  <c r="I65" i="25" s="1"/>
  <c r="D65" i="25"/>
  <c r="K65" i="25" s="1"/>
  <c r="L65" i="25" s="1"/>
  <c r="J64" i="25"/>
  <c r="I64" i="25"/>
  <c r="G64" i="25"/>
  <c r="D64" i="25"/>
  <c r="J63" i="25"/>
  <c r="G63" i="25"/>
  <c r="I63" i="25" s="1"/>
  <c r="D63" i="25"/>
  <c r="J62" i="25"/>
  <c r="G62" i="25"/>
  <c r="I62" i="25" s="1"/>
  <c r="D62" i="25"/>
  <c r="J61" i="25"/>
  <c r="G61" i="25"/>
  <c r="I61" i="25" s="1"/>
  <c r="D61" i="25"/>
  <c r="K61" i="25" s="1"/>
  <c r="L61" i="25" s="1"/>
  <c r="J60" i="25"/>
  <c r="I60" i="25"/>
  <c r="G60" i="25"/>
  <c r="D60" i="25"/>
  <c r="K60" i="25" s="1"/>
  <c r="L60" i="25" s="1"/>
  <c r="J59" i="25"/>
  <c r="G59" i="25"/>
  <c r="I59" i="25" s="1"/>
  <c r="D59" i="25"/>
  <c r="J58" i="25"/>
  <c r="G58" i="25"/>
  <c r="I58" i="25" s="1"/>
  <c r="D58" i="25"/>
  <c r="J57" i="25"/>
  <c r="G57" i="25"/>
  <c r="I57" i="25" s="1"/>
  <c r="D57" i="25"/>
  <c r="K57" i="25" s="1"/>
  <c r="L57" i="25" s="1"/>
  <c r="J56" i="25"/>
  <c r="I56" i="25"/>
  <c r="G56" i="25"/>
  <c r="D56" i="25"/>
  <c r="J55" i="25"/>
  <c r="G55" i="25"/>
  <c r="I55" i="25" s="1"/>
  <c r="D55" i="25"/>
  <c r="J54" i="25"/>
  <c r="G54" i="25"/>
  <c r="I54" i="25" s="1"/>
  <c r="D54" i="25"/>
  <c r="J53" i="25"/>
  <c r="G53" i="25"/>
  <c r="I53" i="25" s="1"/>
  <c r="D53" i="25"/>
  <c r="K53" i="25" s="1"/>
  <c r="L53" i="25" s="1"/>
  <c r="J52" i="25"/>
  <c r="I52" i="25"/>
  <c r="G52" i="25"/>
  <c r="D52" i="25"/>
  <c r="K52" i="25" s="1"/>
  <c r="L52" i="25" s="1"/>
  <c r="J51" i="25"/>
  <c r="G51" i="25"/>
  <c r="I51" i="25" s="1"/>
  <c r="D51" i="25"/>
  <c r="J50" i="25"/>
  <c r="G50" i="25"/>
  <c r="I50" i="25" s="1"/>
  <c r="D50" i="25"/>
  <c r="J49" i="25"/>
  <c r="G49" i="25"/>
  <c r="I49" i="25" s="1"/>
  <c r="D49" i="25"/>
  <c r="K49" i="25" s="1"/>
  <c r="L49" i="25" s="1"/>
  <c r="J48" i="25"/>
  <c r="I48" i="25"/>
  <c r="G48" i="25"/>
  <c r="D48" i="25"/>
  <c r="J47" i="25"/>
  <c r="G47" i="25"/>
  <c r="I47" i="25" s="1"/>
  <c r="K47" i="25" s="1"/>
  <c r="L47" i="25" s="1"/>
  <c r="D47" i="25"/>
  <c r="J46" i="25"/>
  <c r="G46" i="25"/>
  <c r="I46" i="25" s="1"/>
  <c r="D46" i="25"/>
  <c r="J45" i="25"/>
  <c r="G45" i="25"/>
  <c r="I45" i="25" s="1"/>
  <c r="D45" i="25"/>
  <c r="K45" i="25" s="1"/>
  <c r="L45" i="25" s="1"/>
  <c r="J44" i="25"/>
  <c r="I44" i="25"/>
  <c r="G44" i="25"/>
  <c r="D44" i="25"/>
  <c r="J43" i="25"/>
  <c r="G43" i="25"/>
  <c r="I43" i="25" s="1"/>
  <c r="D43" i="25"/>
  <c r="K43" i="25" s="1"/>
  <c r="L43" i="25" s="1"/>
  <c r="J42" i="25"/>
  <c r="I42" i="25"/>
  <c r="G42" i="25"/>
  <c r="D42" i="25"/>
  <c r="J41" i="25"/>
  <c r="G41" i="25"/>
  <c r="I41" i="25" s="1"/>
  <c r="D41" i="25"/>
  <c r="J40" i="25"/>
  <c r="G40" i="25"/>
  <c r="I40" i="25" s="1"/>
  <c r="D40" i="25"/>
  <c r="J39" i="25"/>
  <c r="G39" i="25"/>
  <c r="I39" i="25" s="1"/>
  <c r="D39" i="25"/>
  <c r="J38" i="25"/>
  <c r="I38" i="25"/>
  <c r="G38" i="25"/>
  <c r="D38" i="25"/>
  <c r="J37" i="25"/>
  <c r="G37" i="25"/>
  <c r="I37" i="25" s="1"/>
  <c r="D37" i="25"/>
  <c r="K37" i="25" s="1"/>
  <c r="L37" i="25" s="1"/>
  <c r="J36" i="25"/>
  <c r="I36" i="25"/>
  <c r="G36" i="25"/>
  <c r="D36" i="25"/>
  <c r="J35" i="25"/>
  <c r="G35" i="25"/>
  <c r="I35" i="25" s="1"/>
  <c r="D35" i="25"/>
  <c r="K35" i="25" s="1"/>
  <c r="L35" i="25" s="1"/>
  <c r="J34" i="25"/>
  <c r="I34" i="25"/>
  <c r="G34" i="25"/>
  <c r="D34" i="25"/>
  <c r="J33" i="25"/>
  <c r="G33" i="25"/>
  <c r="I33" i="25" s="1"/>
  <c r="D33" i="25"/>
  <c r="J32" i="25"/>
  <c r="G32" i="25"/>
  <c r="I32" i="25" s="1"/>
  <c r="D32" i="25"/>
  <c r="J31" i="25"/>
  <c r="G31" i="25"/>
  <c r="I31" i="25" s="1"/>
  <c r="D31" i="25"/>
  <c r="J30" i="25"/>
  <c r="G30" i="25"/>
  <c r="I30" i="25" s="1"/>
  <c r="D30" i="25"/>
  <c r="J29" i="25"/>
  <c r="G29" i="25"/>
  <c r="I29" i="25" s="1"/>
  <c r="D29" i="25"/>
  <c r="J28" i="25"/>
  <c r="G28" i="25"/>
  <c r="I28" i="25" s="1"/>
  <c r="D28" i="25"/>
  <c r="K28" i="25" s="1"/>
  <c r="L28" i="25" s="1"/>
  <c r="J27" i="25"/>
  <c r="G27" i="25"/>
  <c r="I27" i="25" s="1"/>
  <c r="D27" i="25"/>
  <c r="J26" i="25"/>
  <c r="G26" i="25"/>
  <c r="I26" i="25" s="1"/>
  <c r="D26" i="25"/>
  <c r="J25" i="25"/>
  <c r="G25" i="25"/>
  <c r="I25" i="25" s="1"/>
  <c r="D25" i="25"/>
  <c r="J24" i="25"/>
  <c r="G24" i="25"/>
  <c r="I24" i="25" s="1"/>
  <c r="D24" i="25"/>
  <c r="K24" i="25" s="1"/>
  <c r="L24" i="25" s="1"/>
  <c r="J23" i="25"/>
  <c r="G23" i="25"/>
  <c r="I23" i="25" s="1"/>
  <c r="D23" i="25"/>
  <c r="J22" i="25"/>
  <c r="G22" i="25"/>
  <c r="I22" i="25" s="1"/>
  <c r="D22" i="25"/>
  <c r="J21" i="25"/>
  <c r="G21" i="25"/>
  <c r="I21" i="25" s="1"/>
  <c r="D21" i="25"/>
  <c r="J20" i="25"/>
  <c r="G20" i="25"/>
  <c r="I20" i="25" s="1"/>
  <c r="D20" i="25"/>
  <c r="K20" i="25" s="1"/>
  <c r="L20" i="25" s="1"/>
  <c r="E8" i="24"/>
  <c r="F8" i="24" s="1"/>
  <c r="G8" i="24" s="1"/>
  <c r="H8" i="24" s="1"/>
  <c r="I8" i="24" s="1"/>
  <c r="D8" i="24"/>
  <c r="D68" i="23"/>
  <c r="E54" i="23"/>
  <c r="F54" i="23" s="1"/>
  <c r="G54" i="23" s="1"/>
  <c r="H54" i="23" s="1"/>
  <c r="I54" i="23" s="1"/>
  <c r="J54" i="23" s="1"/>
  <c r="K54" i="23" s="1"/>
  <c r="L54" i="23" s="1"/>
  <c r="M54" i="23" s="1"/>
  <c r="N54" i="23" s="1"/>
  <c r="E45" i="23"/>
  <c r="F45" i="23" s="1"/>
  <c r="G45" i="23" s="1"/>
  <c r="C17" i="22"/>
  <c r="D17" i="22" s="1"/>
  <c r="D15" i="22"/>
  <c r="E11" i="22"/>
  <c r="C16" i="22" s="1"/>
  <c r="D16" i="22" s="1"/>
  <c r="E11" i="21"/>
  <c r="E10" i="21"/>
  <c r="E9" i="21"/>
  <c r="D8" i="21"/>
  <c r="E7" i="21"/>
  <c r="E6" i="21"/>
  <c r="E5" i="21"/>
  <c r="M6" i="23" l="1"/>
  <c r="M7" i="23" s="1"/>
  <c r="G6" i="23"/>
  <c r="G7" i="23" s="1"/>
  <c r="K6" i="23"/>
  <c r="K7" i="23" s="1"/>
  <c r="F6" i="23"/>
  <c r="F7" i="23" s="1"/>
  <c r="E6" i="23"/>
  <c r="E7" i="23" s="1"/>
  <c r="J6" i="23"/>
  <c r="J7" i="23" s="1"/>
  <c r="I6" i="23"/>
  <c r="I7" i="23" s="1"/>
  <c r="L6" i="23"/>
  <c r="L7" i="23" s="1"/>
  <c r="H6" i="23"/>
  <c r="H7" i="23" s="1"/>
  <c r="K23" i="25"/>
  <c r="L23" i="25" s="1"/>
  <c r="K27" i="25"/>
  <c r="L27" i="25" s="1"/>
  <c r="K40" i="25"/>
  <c r="L40" i="25" s="1"/>
  <c r="K41" i="25"/>
  <c r="L41" i="25" s="1"/>
  <c r="K50" i="25"/>
  <c r="L50" i="25" s="1"/>
  <c r="K51" i="25"/>
  <c r="L51" i="25" s="1"/>
  <c r="K58" i="25"/>
  <c r="L58" i="25" s="1"/>
  <c r="K59" i="25"/>
  <c r="L59" i="25" s="1"/>
  <c r="K66" i="25"/>
  <c r="L66" i="25" s="1"/>
  <c r="K67" i="25"/>
  <c r="L67" i="25" s="1"/>
  <c r="K74" i="25"/>
  <c r="L74" i="25" s="1"/>
  <c r="K75" i="25"/>
  <c r="L75" i="25" s="1"/>
  <c r="K82" i="25"/>
  <c r="L82" i="25" s="1"/>
  <c r="K83" i="25"/>
  <c r="L83" i="25" s="1"/>
  <c r="K90" i="25"/>
  <c r="L90" i="25" s="1"/>
  <c r="K91" i="25"/>
  <c r="L91" i="25" s="1"/>
  <c r="K98" i="25"/>
  <c r="L98" i="25" s="1"/>
  <c r="K99" i="25"/>
  <c r="L99" i="25" s="1"/>
  <c r="K106" i="25"/>
  <c r="L106" i="25" s="1"/>
  <c r="K107" i="25"/>
  <c r="L107" i="25" s="1"/>
  <c r="K114" i="25"/>
  <c r="L114" i="25" s="1"/>
  <c r="K48" i="25"/>
  <c r="L48" i="25" s="1"/>
  <c r="K56" i="25"/>
  <c r="L56" i="25" s="1"/>
  <c r="K64" i="25"/>
  <c r="L64" i="25" s="1"/>
  <c r="K72" i="25"/>
  <c r="L72" i="25" s="1"/>
  <c r="K80" i="25"/>
  <c r="L80" i="25" s="1"/>
  <c r="K88" i="25"/>
  <c r="L88" i="25" s="1"/>
  <c r="K96" i="25"/>
  <c r="L96" i="25" s="1"/>
  <c r="K104" i="25"/>
  <c r="L104" i="25" s="1"/>
  <c r="K112" i="25"/>
  <c r="L112" i="25" s="1"/>
  <c r="K31" i="25"/>
  <c r="L31" i="25" s="1"/>
  <c r="K33" i="25"/>
  <c r="L33" i="25" s="1"/>
  <c r="K39" i="25"/>
  <c r="L39" i="25" s="1"/>
  <c r="K54" i="25"/>
  <c r="L54" i="25" s="1"/>
  <c r="K55" i="25"/>
  <c r="L55" i="25" s="1"/>
  <c r="K62" i="25"/>
  <c r="L62" i="25" s="1"/>
  <c r="K63" i="25"/>
  <c r="L63" i="25" s="1"/>
  <c r="K70" i="25"/>
  <c r="L70" i="25" s="1"/>
  <c r="K71" i="25"/>
  <c r="L71" i="25" s="1"/>
  <c r="K78" i="25"/>
  <c r="L78" i="25" s="1"/>
  <c r="K79" i="25"/>
  <c r="L79" i="25" s="1"/>
  <c r="K86" i="25"/>
  <c r="L86" i="25" s="1"/>
  <c r="K87" i="25"/>
  <c r="L87" i="25" s="1"/>
  <c r="K94" i="25"/>
  <c r="L94" i="25" s="1"/>
  <c r="K95" i="25"/>
  <c r="L95" i="25" s="1"/>
  <c r="K102" i="25"/>
  <c r="L102" i="25" s="1"/>
  <c r="K103" i="25"/>
  <c r="L103" i="25" s="1"/>
  <c r="K110" i="25"/>
  <c r="L110" i="25" s="1"/>
  <c r="K111" i="25"/>
  <c r="L111" i="25" s="1"/>
  <c r="K22" i="25"/>
  <c r="L22" i="25" s="1"/>
  <c r="K26" i="25"/>
  <c r="L26" i="25" s="1"/>
  <c r="K30" i="25"/>
  <c r="L30" i="25" s="1"/>
  <c r="K21" i="25"/>
  <c r="L21" i="25" s="1"/>
  <c r="K25" i="25"/>
  <c r="L25" i="25" s="1"/>
  <c r="K29" i="25"/>
  <c r="L29" i="25" s="1"/>
  <c r="K32" i="25"/>
  <c r="L32" i="25" s="1"/>
  <c r="K38" i="25"/>
  <c r="L38" i="25" s="1"/>
  <c r="K46" i="25"/>
  <c r="L46" i="25" s="1"/>
  <c r="K115" i="25"/>
  <c r="L115" i="25" s="1"/>
  <c r="K34" i="25"/>
  <c r="L34" i="25" s="1"/>
  <c r="K42" i="25"/>
  <c r="L42" i="25" s="1"/>
  <c r="K36" i="25"/>
  <c r="L36" i="25" s="1"/>
  <c r="K44" i="25"/>
  <c r="L44" i="25" s="1"/>
  <c r="E68" i="23"/>
  <c r="F16" i="22"/>
  <c r="E17" i="22"/>
  <c r="F17" i="22" s="1"/>
  <c r="F68" i="23" l="1"/>
  <c r="F18" i="22"/>
  <c r="C34" i="11"/>
  <c r="G68" i="23" l="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R29" i="11"/>
  <c r="S29" i="11"/>
  <c r="D29" i="11"/>
  <c r="E30" i="11"/>
  <c r="E31" i="11" s="1"/>
  <c r="F30" i="11"/>
  <c r="F31" i="11" s="1"/>
  <c r="G30" i="11"/>
  <c r="G31" i="11" s="1"/>
  <c r="H30" i="11"/>
  <c r="H31" i="11" s="1"/>
  <c r="I30" i="11"/>
  <c r="I31" i="11" s="1"/>
  <c r="J30" i="11"/>
  <c r="J31" i="11" s="1"/>
  <c r="K30" i="11"/>
  <c r="K31" i="11" s="1"/>
  <c r="L30" i="11"/>
  <c r="L31" i="11" s="1"/>
  <c r="M30" i="11"/>
  <c r="M31" i="11" s="1"/>
  <c r="N30" i="11"/>
  <c r="N31" i="11" s="1"/>
  <c r="O30" i="11"/>
  <c r="O31" i="11" s="1"/>
  <c r="P30" i="11"/>
  <c r="P31" i="11" s="1"/>
  <c r="Q30" i="11"/>
  <c r="Q31" i="11" s="1"/>
  <c r="R30" i="11"/>
  <c r="R31" i="11" s="1"/>
  <c r="S30" i="11"/>
  <c r="S31" i="11" s="1"/>
  <c r="D30" i="11"/>
  <c r="H68" i="23" l="1"/>
  <c r="D31" i="11"/>
  <c r="D32" i="11" s="1"/>
  <c r="E32" i="11" s="1"/>
  <c r="F32" i="11" s="1"/>
  <c r="G32" i="11" s="1"/>
  <c r="H32" i="11" s="1"/>
  <c r="I32" i="11" s="1"/>
  <c r="J32" i="11" s="1"/>
  <c r="K32" i="11" s="1"/>
  <c r="L32" i="11" s="1"/>
  <c r="M32" i="11" s="1"/>
  <c r="N32" i="11" s="1"/>
  <c r="D34" i="11" s="1"/>
  <c r="I68" i="23" l="1"/>
  <c r="O32" i="11"/>
  <c r="P32" i="11" s="1"/>
  <c r="Q32" i="11" s="1"/>
  <c r="R32" i="11" s="1"/>
  <c r="S32" i="11" s="1"/>
  <c r="J68" i="23" l="1"/>
  <c r="K68" i="23" l="1"/>
  <c r="L68" i="23" l="1"/>
  <c r="M68" i="23" l="1"/>
  <c r="N68" i="23" l="1"/>
</calcChain>
</file>

<file path=xl/sharedStrings.xml><?xml version="1.0" encoding="utf-8"?>
<sst xmlns="http://schemas.openxmlformats.org/spreadsheetml/2006/main" count="239" uniqueCount="229">
  <si>
    <t>SG&amp;A ($):</t>
  </si>
  <si>
    <t>Revenue ($):</t>
  </si>
  <si>
    <t>Annual DCF ($):</t>
  </si>
  <si>
    <t>Cumulative DCF ($):</t>
  </si>
  <si>
    <t>Sort Data</t>
  </si>
  <si>
    <t>Relative Output</t>
  </si>
  <si>
    <t>Data Label</t>
  </si>
  <si>
    <t>output-L</t>
  </si>
  <si>
    <t>output-H</t>
  </si>
  <si>
    <t>delta</t>
  </si>
  <si>
    <t>Discount Rate:</t>
  </si>
  <si>
    <t>Discount Factor:</t>
  </si>
  <si>
    <t>Project Year:</t>
  </si>
  <si>
    <t>Income</t>
  </si>
  <si>
    <t>Price per unit ($):</t>
  </si>
  <si>
    <t>Operating Costs</t>
  </si>
  <si>
    <t>COGS ($):</t>
  </si>
  <si>
    <t>Units Sold:</t>
  </si>
  <si>
    <t>Maintanance ($):</t>
  </si>
  <si>
    <t>Capital Expenditure ($):</t>
  </si>
  <si>
    <t>Investment</t>
  </si>
  <si>
    <t>Annual Net Cash Flow ($):</t>
  </si>
  <si>
    <t>Input Table</t>
  </si>
  <si>
    <t>Totals</t>
  </si>
  <si>
    <t>Year</t>
  </si>
  <si>
    <t>Tornado Diagram Template</t>
  </si>
  <si>
    <t>DSO (40 - 90 days; Base = 75 days)</t>
  </si>
  <si>
    <t>Taxes as a % of EBITDA (25-45%; Base = 30%)</t>
  </si>
  <si>
    <t>Fixed Asset Turnover (2.7 - 3.5; Base = 3.1)</t>
  </si>
  <si>
    <t>Some other Variable (Low to High; Base = xx)</t>
  </si>
  <si>
    <t>Annual PP&amp;E Expenditure (% of Revenue) (3% - 7%; Base = 5.5%)</t>
  </si>
  <si>
    <t>Projected COGS Margins (50%-80%, Base = 68%)</t>
  </si>
  <si>
    <t>Revenue ACGR (3.0%-12.2%, Base=6.2%)</t>
  </si>
  <si>
    <t>ABC Company (Specialty Chemical Company)</t>
  </si>
  <si>
    <t>Company Beta Value:</t>
  </si>
  <si>
    <t>WACC Estimate for</t>
  </si>
  <si>
    <t>(Weighted-Average Cost of Capital)</t>
  </si>
  <si>
    <t xml:space="preserve">10-Year US Treasure Bond yeild**: </t>
  </si>
  <si>
    <t>Equity Premium:</t>
  </si>
  <si>
    <t>(fixed; historical average for US stocks 5-6%)</t>
  </si>
  <si>
    <t>Corporate Bond Rate:</t>
  </si>
  <si>
    <t>Corporate Bond Premium:</t>
  </si>
  <si>
    <t>(calculated)</t>
  </si>
  <si>
    <t>Tax Rate:</t>
  </si>
  <si>
    <t>After-tax</t>
  </si>
  <si>
    <t xml:space="preserve">rate </t>
  </si>
  <si>
    <t>Pre-tax Rate</t>
  </si>
  <si>
    <t>Fraction</t>
  </si>
  <si>
    <t>NOTE:  Using CAPM model to calculate Equity Rate</t>
  </si>
  <si>
    <t>Debt*</t>
  </si>
  <si>
    <t xml:space="preserve">               Using "CAPM-like" method for calculating Debt value</t>
  </si>
  <si>
    <t>Equity</t>
  </si>
  <si>
    <t>WACC =</t>
  </si>
  <si>
    <t>Debt is Long-term debt plus current portion of long-term debt plus short-term loans (if any)</t>
  </si>
  <si>
    <t>Equity is "book value" -- from the balance sheet</t>
  </si>
  <si>
    <t>Source:  Wall Street Journal, 9/10/18</t>
  </si>
  <si>
    <t>S&amp;P 500 Bond Issue yield</t>
  </si>
  <si>
    <t xml:space="preserve">Dow Jones </t>
  </si>
  <si>
    <t>10-year treasury yield</t>
  </si>
  <si>
    <t>Uncle's Loan Interest Rate (%/year):</t>
  </si>
  <si>
    <t>USD owed to Uncle:</t>
  </si>
  <si>
    <t>Investment Required Return ($):</t>
  </si>
  <si>
    <t>Future Value ($):</t>
  </si>
  <si>
    <t>Present Value ($):</t>
  </si>
  <si>
    <t>Revenue Annual Growth Rate:</t>
  </si>
  <si>
    <t>Chapter 2 Spreadsheets</t>
  </si>
  <si>
    <t>Annual rate of return calculation</t>
  </si>
  <si>
    <t>Amount Invested ($):</t>
  </si>
  <si>
    <t>Annual Compounded Interest Rate (%):</t>
  </si>
  <si>
    <t>Date updated:</t>
  </si>
  <si>
    <t>Created by:</t>
  </si>
  <si>
    <t>Aswath Damodaran, adamodar@stern.nyu.edu</t>
  </si>
  <si>
    <t>YouTube Video Guide</t>
  </si>
  <si>
    <t>What is this data?</t>
  </si>
  <si>
    <t>Cost of equity and capital (updateable)</t>
  </si>
  <si>
    <t>US companies</t>
  </si>
  <si>
    <t>Home Page:</t>
  </si>
  <si>
    <t>http://www.damodaran.com</t>
  </si>
  <si>
    <t>Data website:</t>
  </si>
  <si>
    <t>https://www.stern.nyu.edu/~adamodar/New_Home_Page/data.html</t>
  </si>
  <si>
    <t>Companies in each industry:</t>
  </si>
  <si>
    <t>https://www.stern.nyu.edu/~adamodar/pc/datasets/indname.xls</t>
  </si>
  <si>
    <t>Variable definitions:</t>
  </si>
  <si>
    <t>https://www.stern.nyu.edu/~adamodar/New_Home_Page/datafile/variable.htm</t>
  </si>
  <si>
    <t>To update this spreadsheet, enter the following</t>
  </si>
  <si>
    <t>Cost of Debt Lookup Table (based on std dev in stock prices)</t>
  </si>
  <si>
    <t>Long Term Treasury bond rate =</t>
  </si>
  <si>
    <t>Standard Deviation</t>
  </si>
  <si>
    <t>Basis Spread</t>
  </si>
  <si>
    <t>Risk Premium to Use for Equity =</t>
  </si>
  <si>
    <t>Global Default Spread to add to cost of debt =</t>
  </si>
  <si>
    <t>Do you want to use the marginal tax rate for cost of debt?</t>
  </si>
  <si>
    <t>Yes</t>
  </si>
  <si>
    <t>If yes, enter the marginal tax rate to use</t>
  </si>
  <si>
    <t>These costs of capital are in US$. To convert to a different currency, please enter</t>
  </si>
  <si>
    <t>Expected inflation rate in local currency =</t>
  </si>
  <si>
    <t>Expected inflation rate in US $ =</t>
  </si>
  <si>
    <t>Industry Name</t>
  </si>
  <si>
    <t>Number of Firms</t>
  </si>
  <si>
    <t>Beta</t>
  </si>
  <si>
    <t>Cost of Equity</t>
  </si>
  <si>
    <t>E/(D+E)</t>
  </si>
  <si>
    <t>Std Dev in Stock</t>
  </si>
  <si>
    <t>Cost of Debt</t>
  </si>
  <si>
    <t>Tax Rate</t>
  </si>
  <si>
    <t>After-tax Cost of Debt</t>
  </si>
  <si>
    <t>D/(D+E)</t>
  </si>
  <si>
    <t>Cost of Capital</t>
  </si>
  <si>
    <t>Cost of Capital (Local Currency)</t>
  </si>
  <si>
    <t>Advertising</t>
  </si>
  <si>
    <t>Aerospace/Defense</t>
  </si>
  <si>
    <t>Air Transport</t>
  </si>
  <si>
    <t>Apparel</t>
  </si>
  <si>
    <t>Auto &amp; Truck</t>
  </si>
  <si>
    <t>Auto Parts</t>
  </si>
  <si>
    <t>Bank (Money Center)</t>
  </si>
  <si>
    <t>Banks (Regional)</t>
  </si>
  <si>
    <t>Beverage (Alcoholic)</t>
  </si>
  <si>
    <t>Beverage (Soft)</t>
  </si>
  <si>
    <t>Broadcasting</t>
  </si>
  <si>
    <t>Brokerage &amp; Investment Banking</t>
  </si>
  <si>
    <t>Building Materials</t>
  </si>
  <si>
    <t>Business &amp; Consumer Services</t>
  </si>
  <si>
    <t>Cable TV</t>
  </si>
  <si>
    <t>Chemical (Basic)</t>
  </si>
  <si>
    <t>Chemical (Diversified)</t>
  </si>
  <si>
    <t>Chemical (Specialty)</t>
  </si>
  <si>
    <t>Coal &amp; Related Energy</t>
  </si>
  <si>
    <t>Computer Services</t>
  </si>
  <si>
    <t>Computers/Peripherals</t>
  </si>
  <si>
    <t>Construction Supplies</t>
  </si>
  <si>
    <t>Diversified</t>
  </si>
  <si>
    <t>Drugs (Biotechnology)</t>
  </si>
  <si>
    <t>Drugs (Pharmaceutical)</t>
  </si>
  <si>
    <t>Education</t>
  </si>
  <si>
    <t>Electrical Equipment</t>
  </si>
  <si>
    <t>Electronics (Consumer &amp; Office)</t>
  </si>
  <si>
    <t>Electronics (General)</t>
  </si>
  <si>
    <t>Engineering/Construction</t>
  </si>
  <si>
    <t>Entertainment</t>
  </si>
  <si>
    <t>Environmental &amp; Waste Services</t>
  </si>
  <si>
    <t>Farming/Agriculture</t>
  </si>
  <si>
    <t>Financial Svcs. (Non-bank &amp; Insurance)</t>
  </si>
  <si>
    <t>Food Processing</t>
  </si>
  <si>
    <t>Food Wholesalers</t>
  </si>
  <si>
    <t>Furn/Home Furnishings</t>
  </si>
  <si>
    <t>Green &amp; Renewable Energy</t>
  </si>
  <si>
    <t>Healthcare Products</t>
  </si>
  <si>
    <t>Healthcare Support Services</t>
  </si>
  <si>
    <t>Heathcare Information and Technology</t>
  </si>
  <si>
    <t>Homebuilding</t>
  </si>
  <si>
    <t>Hospitals/Healthcare Facilities</t>
  </si>
  <si>
    <t>Hotel/Gaming</t>
  </si>
  <si>
    <t>Household Products</t>
  </si>
  <si>
    <t>Information Services</t>
  </si>
  <si>
    <t>Insurance (General)</t>
  </si>
  <si>
    <t>Insurance (Life)</t>
  </si>
  <si>
    <t>Insurance (Prop/Cas.)</t>
  </si>
  <si>
    <t>Investments &amp; Asset Management</t>
  </si>
  <si>
    <t>Machinery</t>
  </si>
  <si>
    <t>Metals &amp; Mining</t>
  </si>
  <si>
    <t>Office Equipment &amp; Services</t>
  </si>
  <si>
    <t>Oil/Gas (Integrated)</t>
  </si>
  <si>
    <t>Oil/Gas (Production and Exploration)</t>
  </si>
  <si>
    <t>Oil/Gas Distribution</t>
  </si>
  <si>
    <t>Oilfield Svcs/Equip.</t>
  </si>
  <si>
    <t>Packaging &amp; Container</t>
  </si>
  <si>
    <t>Paper/Forest Products</t>
  </si>
  <si>
    <t>Power</t>
  </si>
  <si>
    <t>Precious Metals</t>
  </si>
  <si>
    <t>Publishing &amp; Newspapers</t>
  </si>
  <si>
    <t>R.E.I.T.</t>
  </si>
  <si>
    <t>Real Estate (Development)</t>
  </si>
  <si>
    <t>Real Estate (General/Diversified)</t>
  </si>
  <si>
    <t>Real Estate (Operations &amp; Services)</t>
  </si>
  <si>
    <t>Recreation</t>
  </si>
  <si>
    <t>Reinsurance</t>
  </si>
  <si>
    <t>Restaurant/Dining</t>
  </si>
  <si>
    <t>Retail (Automotive)</t>
  </si>
  <si>
    <t>Retail (Building Supply)</t>
  </si>
  <si>
    <t>Retail (Distributors)</t>
  </si>
  <si>
    <t>Retail (General)</t>
  </si>
  <si>
    <t>Retail (Grocery and Food)</t>
  </si>
  <si>
    <t>Retail (Online)</t>
  </si>
  <si>
    <t>Retail (Special Lines)</t>
  </si>
  <si>
    <t>Rubber&amp; Tires</t>
  </si>
  <si>
    <t>Semiconductor</t>
  </si>
  <si>
    <t>Semiconductor Equip</t>
  </si>
  <si>
    <t>Shipbuilding &amp; Marine</t>
  </si>
  <si>
    <t>Shoe</t>
  </si>
  <si>
    <t>Software (Entertainment)</t>
  </si>
  <si>
    <t>Software (Internet)</t>
  </si>
  <si>
    <t>Software (System &amp; Application)</t>
  </si>
  <si>
    <t>Steel</t>
  </si>
  <si>
    <t>Telecom (Wireless)</t>
  </si>
  <si>
    <t>Telecom. Equipment</t>
  </si>
  <si>
    <t>Telecom. Services</t>
  </si>
  <si>
    <t>Tobacco</t>
  </si>
  <si>
    <t>Transportation</t>
  </si>
  <si>
    <t>Transportation (Railroads)</t>
  </si>
  <si>
    <t>Trucking</t>
  </si>
  <si>
    <t>Utility (General)</t>
  </si>
  <si>
    <t>Utility (Water)</t>
  </si>
  <si>
    <t>Total Market</t>
  </si>
  <si>
    <t>Total Market (without financials)</t>
  </si>
  <si>
    <t>Project NPV Analysis Template</t>
  </si>
  <si>
    <t xml:space="preserve">IRR of 10-Year base-case (%) = </t>
  </si>
  <si>
    <t>Figure 2.7</t>
  </si>
  <si>
    <t>Figure 2.6</t>
  </si>
  <si>
    <t>Figure 2.5</t>
  </si>
  <si>
    <t>Table 2.1</t>
  </si>
  <si>
    <t>Periods</t>
  </si>
  <si>
    <t>Revenue Increase</t>
  </si>
  <si>
    <t>% Change in Revenue</t>
  </si>
  <si>
    <t>Revenue</t>
  </si>
  <si>
    <t>xxx</t>
  </si>
  <si>
    <t>Figure 2.2</t>
  </si>
  <si>
    <t>&lt;== calculated using "goal seek" function by setting Cell I8=2000 by changing cell F4</t>
  </si>
  <si>
    <t xml:space="preserve">*NOTE:   </t>
  </si>
  <si>
    <r>
      <t xml:space="preserve">(used as risk-free rate; Obtained from </t>
    </r>
    <r>
      <rPr>
        <sz val="10"/>
        <color rgb="FF0000FF"/>
        <rFont val="Times New Roman"/>
        <family val="1"/>
      </rPr>
      <t>https://fred.stlouisfed.org/series/DGS10</t>
    </r>
    <r>
      <rPr>
        <sz val="10"/>
        <rFont val="Times New Roman"/>
        <family val="1"/>
      </rPr>
      <t xml:space="preserve"> on </t>
    </r>
    <r>
      <rPr>
        <sz val="10"/>
        <color rgb="FF0000FF"/>
        <rFont val="Times New Roman"/>
        <family val="1"/>
      </rPr>
      <t>4/29/22</t>
    </r>
    <r>
      <rPr>
        <sz val="10"/>
        <rFont val="Times New Roman"/>
        <family val="1"/>
      </rPr>
      <t>)</t>
    </r>
  </si>
  <si>
    <r>
      <t>(used Bloomberg's US Corporate index; retrieved from</t>
    </r>
    <r>
      <rPr>
        <sz val="10"/>
        <color rgb="FF0000FF"/>
        <rFont val="Times New Roman"/>
        <family val="1"/>
      </rPr>
      <t xml:space="preserve"> https://www.wsj.com/market-data/bonds/benchmarks</t>
    </r>
    <r>
      <rPr>
        <sz val="10"/>
        <rFont val="Times New Roman"/>
        <family val="1"/>
      </rPr>
      <t xml:space="preserve"> on </t>
    </r>
    <r>
      <rPr>
        <sz val="10"/>
        <color rgb="FF0000FF"/>
        <rFont val="Times New Roman"/>
        <family val="1"/>
      </rPr>
      <t>4/29/22</t>
    </r>
    <r>
      <rPr>
        <sz val="10"/>
        <rFont val="Times New Roman"/>
        <family val="1"/>
      </rPr>
      <t>)</t>
    </r>
  </si>
  <si>
    <t>Figure 2.4</t>
  </si>
  <si>
    <t>Starting Revenue Value ($):</t>
  </si>
  <si>
    <t>Annual Revenue Growth Rate (%):</t>
  </si>
  <si>
    <t>Revenue (Constant % change), ($):</t>
  </si>
  <si>
    <t>Color Coding:</t>
  </si>
  <si>
    <t>XXXX</t>
  </si>
  <si>
    <t xml:space="preserve">  Blue -- Hand-entered data</t>
  </si>
  <si>
    <t xml:space="preserve">  Black -- Calculated value or Value linked to another 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</si>
</sst>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000"/>
    <numFmt numFmtId="165" formatCode="0.0%"/>
    <numFmt numFmtId="166" formatCode="_(* #,##0_);_(* \(#,##0\);_(* &quot;-&quot;??_);_(@_)"/>
    <numFmt numFmtId="167" formatCode="_(* #,##0.0000_);_(* \(#,##0.0000\);_(* &quot;-&quot;??_);_(@_)"/>
  </numFmts>
  <fonts count="28">
    <font>
      <sz val="11"/>
      <color theme="1"/>
      <name val="Calibri"/>
      <family val="2"/>
      <scheme val="minor"/>
    </font>
    <font>
      <sz val="10"/>
      <name val="Times New Roman"/>
      <family val="1"/>
    </font>
    <font>
      <u/>
      <sz val="10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FF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"/>
      <name val="Times New Roman"/>
      <family val="1"/>
    </font>
    <font>
      <sz val="11"/>
      <name val="Times New Roman"/>
      <family val="1"/>
    </font>
    <font>
      <sz val="10"/>
      <color theme="1"/>
      <name val="Times New Roman"/>
      <family val="1"/>
    </font>
    <font>
      <b/>
      <sz val="11"/>
      <name val="Times New Roman"/>
      <family val="1"/>
    </font>
    <font>
      <sz val="10"/>
      <color rgb="FF0000FF"/>
      <name val="Times New Roman"/>
      <family val="1"/>
    </font>
    <font>
      <b/>
      <sz val="10"/>
      <color rgb="FFFF0000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9"/>
      <name val="Geneva"/>
      <family val="2"/>
      <charset val="1"/>
    </font>
    <font>
      <sz val="9"/>
      <name val="Geneva"/>
      <family val="2"/>
      <charset val="1"/>
    </font>
    <font>
      <i/>
      <sz val="9"/>
      <name val="Geneva"/>
      <family val="2"/>
      <charset val="1"/>
    </font>
    <font>
      <b/>
      <sz val="9"/>
      <name val="Geneva"/>
      <family val="2"/>
      <charset val="1"/>
    </font>
    <font>
      <b/>
      <sz val="10"/>
      <name val="Verdana"/>
      <family val="2"/>
    </font>
    <font>
      <sz val="11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CF305"/>
        <bgColor rgb="FF000000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1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5" fillId="0" borderId="0"/>
    <xf numFmtId="0" fontId="18" fillId="0" borderId="0" applyNumberFormat="0" applyFill="0" applyBorder="0" applyAlignment="0" applyProtection="0"/>
    <xf numFmtId="9" fontId="15" fillId="0" borderId="0" applyFont="0" applyFill="0" applyBorder="0" applyAlignment="0" applyProtection="0"/>
  </cellStyleXfs>
  <cellXfs count="155">
    <xf numFmtId="0" fontId="0" fillId="0" borderId="0" xfId="0"/>
    <xf numFmtId="0" fontId="4" fillId="0" borderId="0" xfId="0" applyFont="1"/>
    <xf numFmtId="0" fontId="7" fillId="0" borderId="0" xfId="4" applyFont="1"/>
    <xf numFmtId="0" fontId="1" fillId="0" borderId="0" xfId="4" applyFont="1"/>
    <xf numFmtId="0" fontId="1" fillId="0" borderId="0" xfId="4" applyFont="1" applyAlignment="1">
      <alignment horizontal="center"/>
    </xf>
    <xf numFmtId="0" fontId="1" fillId="0" borderId="0" xfId="4" applyFont="1" applyAlignment="1">
      <alignment horizontal="right"/>
    </xf>
    <xf numFmtId="0" fontId="6" fillId="0" borderId="0" xfId="4"/>
    <xf numFmtId="0" fontId="2" fillId="0" borderId="0" xfId="4" applyFont="1" applyAlignment="1">
      <alignment horizontal="right"/>
    </xf>
    <xf numFmtId="0" fontId="2" fillId="0" borderId="0" xfId="4" applyFont="1" applyAlignment="1">
      <alignment horizontal="center"/>
    </xf>
    <xf numFmtId="0" fontId="2" fillId="0" borderId="0" xfId="4" applyFont="1"/>
    <xf numFmtId="165" fontId="1" fillId="0" borderId="0" xfId="5" applyNumberFormat="1" applyFont="1" applyAlignment="1">
      <alignment horizontal="right"/>
    </xf>
    <xf numFmtId="165" fontId="1" fillId="0" borderId="0" xfId="4" applyNumberFormat="1" applyFont="1" applyAlignment="1">
      <alignment horizontal="right"/>
    </xf>
    <xf numFmtId="0" fontId="8" fillId="0" borderId="0" xfId="0" applyFont="1"/>
    <xf numFmtId="0" fontId="4" fillId="0" borderId="0" xfId="0" applyFont="1" applyAlignment="1">
      <alignment horizontal="right"/>
    </xf>
    <xf numFmtId="165" fontId="5" fillId="0" borderId="0" xfId="3" applyNumberFormat="1" applyFont="1" applyAlignment="1">
      <alignment horizontal="center"/>
    </xf>
    <xf numFmtId="0" fontId="4" fillId="0" borderId="1" xfId="0" applyFont="1" applyBorder="1"/>
    <xf numFmtId="0" fontId="9" fillId="0" borderId="0" xfId="0" applyFont="1"/>
    <xf numFmtId="164" fontId="4" fillId="0" borderId="0" xfId="0" applyNumberFormat="1" applyFont="1"/>
    <xf numFmtId="165" fontId="1" fillId="0" borderId="0" xfId="4" applyNumberFormat="1" applyFont="1"/>
    <xf numFmtId="9" fontId="1" fillId="0" borderId="0" xfId="5" applyFont="1" applyAlignment="1">
      <alignment horizontal="right"/>
    </xf>
    <xf numFmtId="10" fontId="4" fillId="0" borderId="0" xfId="0" applyNumberFormat="1" applyFont="1"/>
    <xf numFmtId="166" fontId="4" fillId="0" borderId="0" xfId="0" applyNumberFormat="1" applyFont="1"/>
    <xf numFmtId="165" fontId="1" fillId="0" borderId="0" xfId="5" applyNumberFormat="1" applyFont="1"/>
    <xf numFmtId="0" fontId="5" fillId="0" borderId="0" xfId="0" applyFont="1"/>
    <xf numFmtId="2" fontId="5" fillId="0" borderId="0" xfId="0" applyNumberFormat="1" applyFont="1"/>
    <xf numFmtId="0" fontId="7" fillId="0" borderId="0" xfId="0" applyFont="1"/>
    <xf numFmtId="0" fontId="11" fillId="0" borderId="0" xfId="0" applyFont="1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165" fontId="13" fillId="0" borderId="0" xfId="3" applyNumberFormat="1" applyFont="1" applyAlignment="1">
      <alignment horizontal="left"/>
    </xf>
    <xf numFmtId="10" fontId="1" fillId="0" borderId="0" xfId="3" applyNumberFormat="1" applyFont="1" applyAlignment="1">
      <alignment horizontal="left"/>
    </xf>
    <xf numFmtId="10" fontId="13" fillId="0" borderId="0" xfId="3" applyNumberFormat="1" applyFont="1" applyAlignment="1">
      <alignment horizontal="left"/>
    </xf>
    <xf numFmtId="0" fontId="1" fillId="0" borderId="8" xfId="0" applyFont="1" applyBorder="1"/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0" fontId="1" fillId="0" borderId="10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9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4" fillId="0" borderId="0" xfId="0" applyFont="1"/>
    <xf numFmtId="165" fontId="1" fillId="0" borderId="2" xfId="3" applyNumberFormat="1" applyFont="1" applyBorder="1" applyAlignment="1">
      <alignment horizontal="center"/>
    </xf>
    <xf numFmtId="9" fontId="13" fillId="0" borderId="2" xfId="3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" fillId="0" borderId="3" xfId="3" applyNumberFormat="1" applyFont="1" applyBorder="1" applyAlignment="1">
      <alignment horizontal="center"/>
    </xf>
    <xf numFmtId="0" fontId="1" fillId="0" borderId="7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1" fillId="0" borderId="0" xfId="0" applyFont="1" applyAlignment="1">
      <alignment horizontal="right"/>
    </xf>
    <xf numFmtId="166" fontId="5" fillId="0" borderId="0" xfId="6" applyNumberFormat="1" applyFont="1" applyAlignment="1">
      <alignment horizontal="center"/>
    </xf>
    <xf numFmtId="10" fontId="5" fillId="0" borderId="0" xfId="3" applyNumberFormat="1" applyFont="1" applyAlignment="1">
      <alignment horizontal="center"/>
    </xf>
    <xf numFmtId="0" fontId="16" fillId="2" borderId="11" xfId="7" applyFont="1" applyFill="1" applyBorder="1"/>
    <xf numFmtId="0" fontId="15" fillId="0" borderId="0" xfId="7"/>
    <xf numFmtId="0" fontId="16" fillId="2" borderId="15" xfId="7" applyFont="1" applyFill="1" applyBorder="1"/>
    <xf numFmtId="0" fontId="20" fillId="0" borderId="0" xfId="7" applyFont="1"/>
    <xf numFmtId="0" fontId="21" fillId="0" borderId="0" xfId="7" applyFont="1"/>
    <xf numFmtId="0" fontId="16" fillId="2" borderId="20" xfId="7" applyFont="1" applyFill="1" applyBorder="1"/>
    <xf numFmtId="0" fontId="22" fillId="0" borderId="0" xfId="7" applyFont="1"/>
    <xf numFmtId="0" fontId="23" fillId="0" borderId="0" xfId="7" applyFont="1"/>
    <xf numFmtId="10" fontId="23" fillId="4" borderId="4" xfId="7" applyNumberFormat="1" applyFont="1" applyFill="1" applyBorder="1"/>
    <xf numFmtId="0" fontId="23" fillId="0" borderId="4" xfId="7" applyFont="1" applyBorder="1" applyAlignment="1">
      <alignment horizontal="center"/>
    </xf>
    <xf numFmtId="10" fontId="23" fillId="4" borderId="9" xfId="7" applyNumberFormat="1" applyFont="1" applyFill="1" applyBorder="1"/>
    <xf numFmtId="0" fontId="23" fillId="5" borderId="4" xfId="7" applyFont="1" applyFill="1" applyBorder="1" applyAlignment="1">
      <alignment horizontal="center"/>
    </xf>
    <xf numFmtId="0" fontId="23" fillId="5" borderId="4" xfId="7" applyFont="1" applyFill="1" applyBorder="1"/>
    <xf numFmtId="10" fontId="23" fillId="5" borderId="4" xfId="9" applyNumberFormat="1" applyFont="1" applyFill="1" applyBorder="1" applyAlignment="1">
      <alignment horizontal="center"/>
    </xf>
    <xf numFmtId="10" fontId="23" fillId="5" borderId="4" xfId="7" applyNumberFormat="1" applyFont="1" applyFill="1" applyBorder="1"/>
    <xf numFmtId="0" fontId="23" fillId="4" borderId="16" xfId="7" applyFont="1" applyFill="1" applyBorder="1" applyAlignment="1">
      <alignment horizontal="center"/>
    </xf>
    <xf numFmtId="9" fontId="23" fillId="4" borderId="7" xfId="7" applyNumberFormat="1" applyFont="1" applyFill="1" applyBorder="1" applyAlignment="1">
      <alignment horizontal="center"/>
    </xf>
    <xf numFmtId="0" fontId="24" fillId="0" borderId="0" xfId="7" applyFont="1"/>
    <xf numFmtId="0" fontId="24" fillId="0" borderId="4" xfId="7" applyFont="1" applyBorder="1"/>
    <xf numFmtId="0" fontId="24" fillId="0" borderId="3" xfId="7" applyFont="1" applyBorder="1" applyAlignment="1">
      <alignment horizontal="center"/>
    </xf>
    <xf numFmtId="0" fontId="24" fillId="0" borderId="4" xfId="7" applyFont="1" applyBorder="1" applyAlignment="1">
      <alignment horizontal="center"/>
    </xf>
    <xf numFmtId="0" fontId="24" fillId="0" borderId="1" xfId="7" applyFont="1" applyBorder="1" applyAlignment="1">
      <alignment horizontal="center"/>
    </xf>
    <xf numFmtId="0" fontId="24" fillId="0" borderId="9" xfId="7" applyFont="1" applyBorder="1" applyAlignment="1">
      <alignment horizontal="center"/>
    </xf>
    <xf numFmtId="0" fontId="23" fillId="0" borderId="4" xfId="7" applyFont="1" applyBorder="1"/>
    <xf numFmtId="2" fontId="23" fillId="0" borderId="4" xfId="7" applyNumberFormat="1" applyFont="1" applyBorder="1"/>
    <xf numFmtId="10" fontId="15" fillId="0" borderId="4" xfId="9" applyNumberFormat="1" applyFont="1" applyBorder="1" applyAlignment="1">
      <alignment horizontal="center"/>
    </xf>
    <xf numFmtId="10" fontId="15" fillId="0" borderId="4" xfId="7" applyNumberFormat="1" applyBorder="1" applyAlignment="1">
      <alignment horizontal="center"/>
    </xf>
    <xf numFmtId="10" fontId="15" fillId="0" borderId="4" xfId="7" applyNumberFormat="1" applyBorder="1"/>
    <xf numFmtId="10" fontId="15" fillId="0" borderId="16" xfId="9" applyNumberFormat="1" applyFont="1" applyBorder="1" applyAlignment="1">
      <alignment horizontal="center"/>
    </xf>
    <xf numFmtId="0" fontId="25" fillId="0" borderId="4" xfId="7" applyFont="1" applyBorder="1"/>
    <xf numFmtId="2" fontId="25" fillId="0" borderId="4" xfId="7" applyNumberFormat="1" applyFont="1" applyBorder="1"/>
    <xf numFmtId="10" fontId="21" fillId="0" borderId="4" xfId="9" applyNumberFormat="1" applyFont="1" applyBorder="1" applyAlignment="1">
      <alignment horizontal="center"/>
    </xf>
    <xf numFmtId="10" fontId="26" fillId="0" borderId="4" xfId="9" applyNumberFormat="1" applyFont="1" applyBorder="1" applyAlignment="1">
      <alignment horizontal="center"/>
    </xf>
    <xf numFmtId="10" fontId="21" fillId="0" borderId="4" xfId="7" applyNumberFormat="1" applyFont="1" applyBorder="1" applyAlignment="1">
      <alignment horizontal="center"/>
    </xf>
    <xf numFmtId="10" fontId="26" fillId="0" borderId="4" xfId="7" applyNumberFormat="1" applyFont="1" applyBorder="1"/>
    <xf numFmtId="10" fontId="21" fillId="0" borderId="16" xfId="9" applyNumberFormat="1" applyFont="1" applyBorder="1" applyAlignment="1">
      <alignment horizontal="center"/>
    </xf>
    <xf numFmtId="10" fontId="21" fillId="0" borderId="8" xfId="9" applyNumberFormat="1" applyFont="1" applyBorder="1" applyAlignment="1">
      <alignment horizontal="center"/>
    </xf>
    <xf numFmtId="10" fontId="21" fillId="0" borderId="8" xfId="7" applyNumberFormat="1" applyFont="1" applyBorder="1" applyAlignment="1">
      <alignment horizontal="center"/>
    </xf>
    <xf numFmtId="10" fontId="21" fillId="0" borderId="5" xfId="9" applyNumberFormat="1" applyFont="1" applyBorder="1" applyAlignment="1">
      <alignment horizontal="center"/>
    </xf>
    <xf numFmtId="0" fontId="4" fillId="0" borderId="16" xfId="0" applyFont="1" applyBorder="1" applyAlignment="1">
      <alignment horizontal="right"/>
    </xf>
    <xf numFmtId="0" fontId="4" fillId="0" borderId="19" xfId="0" applyFont="1" applyBorder="1"/>
    <xf numFmtId="0" fontId="8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9" fontId="5" fillId="0" borderId="0" xfId="3" applyNumberFormat="1" applyFont="1" applyFill="1" applyAlignment="1">
      <alignment horizontal="center"/>
    </xf>
    <xf numFmtId="0" fontId="4" fillId="0" borderId="1" xfId="0" applyFont="1" applyFill="1" applyBorder="1" applyAlignment="1">
      <alignment horizontal="right"/>
    </xf>
    <xf numFmtId="0" fontId="4" fillId="0" borderId="1" xfId="0" applyFont="1" applyFill="1" applyBorder="1"/>
    <xf numFmtId="2" fontId="5" fillId="0" borderId="0" xfId="0" applyNumberFormat="1" applyFont="1" applyFill="1"/>
    <xf numFmtId="2" fontId="4" fillId="0" borderId="0" xfId="0" applyNumberFormat="1" applyFont="1" applyFill="1"/>
    <xf numFmtId="0" fontId="4" fillId="0" borderId="1" xfId="0" applyFont="1" applyFill="1" applyBorder="1" applyAlignment="1">
      <alignment horizontal="center"/>
    </xf>
    <xf numFmtId="43" fontId="5" fillId="0" borderId="0" xfId="6" applyNumberFormat="1" applyFont="1" applyFill="1" applyAlignment="1">
      <alignment horizontal="center"/>
    </xf>
    <xf numFmtId="43" fontId="4" fillId="0" borderId="0" xfId="6" applyNumberFormat="1" applyFont="1" applyFill="1" applyAlignment="1">
      <alignment horizontal="center"/>
    </xf>
    <xf numFmtId="167" fontId="4" fillId="0" borderId="0" xfId="6" applyNumberFormat="1" applyFont="1" applyFill="1" applyAlignment="1">
      <alignment horizontal="center"/>
    </xf>
    <xf numFmtId="43" fontId="10" fillId="0" borderId="0" xfId="6" applyNumberFormat="1" applyFont="1" applyFill="1" applyAlignment="1">
      <alignment horizontal="center"/>
    </xf>
    <xf numFmtId="167" fontId="5" fillId="0" borderId="0" xfId="6" applyNumberFormat="1" applyFont="1" applyFill="1" applyAlignment="1">
      <alignment horizontal="center"/>
    </xf>
    <xf numFmtId="0" fontId="4" fillId="0" borderId="2" xfId="0" applyFont="1" applyFill="1" applyBorder="1"/>
    <xf numFmtId="165" fontId="4" fillId="0" borderId="3" xfId="3" applyNumberFormat="1" applyFont="1" applyFill="1" applyBorder="1"/>
    <xf numFmtId="0" fontId="4" fillId="0" borderId="19" xfId="0" applyFont="1" applyFill="1" applyBorder="1"/>
    <xf numFmtId="0" fontId="4" fillId="0" borderId="4" xfId="0" applyFont="1" applyFill="1" applyBorder="1"/>
    <xf numFmtId="0" fontId="4" fillId="0" borderId="10" xfId="0" applyFont="1" applyFill="1" applyBorder="1"/>
    <xf numFmtId="0" fontId="4" fillId="0" borderId="10" xfId="0" quotePrefix="1" applyFont="1" applyFill="1" applyBorder="1" applyAlignment="1">
      <alignment horizontal="right"/>
    </xf>
    <xf numFmtId="0" fontId="4" fillId="0" borderId="9" xfId="0" quotePrefix="1" applyFont="1" applyFill="1" applyBorder="1" applyAlignment="1">
      <alignment horizontal="right"/>
    </xf>
    <xf numFmtId="165" fontId="4" fillId="0" borderId="9" xfId="3" applyNumberFormat="1" applyFont="1" applyFill="1" applyBorder="1"/>
    <xf numFmtId="0" fontId="4" fillId="0" borderId="4" xfId="0" applyFont="1" applyFill="1" applyBorder="1" applyAlignment="1">
      <alignment horizontal="right"/>
    </xf>
    <xf numFmtId="0" fontId="4" fillId="0" borderId="10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27" fillId="0" borderId="0" xfId="0" applyFont="1"/>
    <xf numFmtId="9" fontId="1" fillId="0" borderId="3" xfId="3" applyFont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5" xfId="0" applyFont="1" applyFill="1" applyBorder="1"/>
    <xf numFmtId="0" fontId="4" fillId="0" borderId="24" xfId="0" applyFont="1" applyFill="1" applyBorder="1"/>
    <xf numFmtId="0" fontId="4" fillId="0" borderId="6" xfId="0" applyFont="1" applyFill="1" applyBorder="1"/>
    <xf numFmtId="0" fontId="4" fillId="0" borderId="25" xfId="0" applyFont="1" applyFill="1" applyBorder="1"/>
    <xf numFmtId="1" fontId="5" fillId="0" borderId="2" xfId="0" applyNumberFormat="1" applyFont="1" applyFill="1" applyBorder="1" applyAlignment="1">
      <alignment horizontal="center"/>
    </xf>
    <xf numFmtId="0" fontId="4" fillId="0" borderId="7" xfId="0" applyFont="1" applyFill="1" applyBorder="1"/>
    <xf numFmtId="10" fontId="5" fillId="0" borderId="3" xfId="3" applyNumberFormat="1" applyFont="1" applyFill="1" applyBorder="1" applyAlignment="1">
      <alignment horizontal="center"/>
    </xf>
    <xf numFmtId="0" fontId="4" fillId="0" borderId="16" xfId="0" applyFont="1" applyFill="1" applyBorder="1"/>
    <xf numFmtId="0" fontId="4" fillId="0" borderId="19" xfId="0" applyFont="1" applyFill="1" applyBorder="1" applyAlignment="1">
      <alignment horizontal="right"/>
    </xf>
    <xf numFmtId="1" fontId="4" fillId="0" borderId="4" xfId="0" applyNumberFormat="1" applyFont="1" applyFill="1" applyBorder="1"/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18" fillId="2" borderId="21" xfId="8" applyFill="1" applyBorder="1" applyAlignment="1">
      <alignment horizontal="left"/>
    </xf>
    <xf numFmtId="0" fontId="18" fillId="2" borderId="22" xfId="8" applyFill="1" applyBorder="1" applyAlignment="1">
      <alignment horizontal="left"/>
    </xf>
    <xf numFmtId="0" fontId="18" fillId="2" borderId="23" xfId="8" applyFill="1" applyBorder="1" applyAlignment="1">
      <alignment horizontal="left"/>
    </xf>
    <xf numFmtId="15" fontId="17" fillId="2" borderId="12" xfId="7" applyNumberFormat="1" applyFont="1" applyFill="1" applyBorder="1" applyAlignment="1">
      <alignment horizontal="left"/>
    </xf>
    <xf numFmtId="15" fontId="17" fillId="2" borderId="13" xfId="7" applyNumberFormat="1" applyFont="1" applyFill="1" applyBorder="1" applyAlignment="1">
      <alignment horizontal="left"/>
    </xf>
    <xf numFmtId="15" fontId="17" fillId="2" borderId="14" xfId="7" applyNumberFormat="1" applyFont="1" applyFill="1" applyBorder="1" applyAlignment="1">
      <alignment horizontal="left"/>
    </xf>
    <xf numFmtId="0" fontId="18" fillId="2" borderId="16" xfId="8" applyFill="1" applyBorder="1" applyAlignment="1">
      <alignment horizontal="left"/>
    </xf>
    <xf numFmtId="0" fontId="18" fillId="2" borderId="17" xfId="8" applyFill="1" applyBorder="1" applyAlignment="1">
      <alignment horizontal="left"/>
    </xf>
    <xf numFmtId="0" fontId="18" fillId="2" borderId="18" xfId="8" applyFill="1" applyBorder="1" applyAlignment="1">
      <alignment horizontal="left"/>
    </xf>
    <xf numFmtId="0" fontId="18" fillId="3" borderId="0" xfId="8" applyFill="1" applyAlignment="1">
      <alignment horizontal="center" vertical="top" wrapText="1"/>
    </xf>
    <xf numFmtId="0" fontId="19" fillId="2" borderId="16" xfId="7" applyFont="1" applyFill="1" applyBorder="1" applyAlignment="1">
      <alignment horizontal="left"/>
    </xf>
    <xf numFmtId="0" fontId="19" fillId="2" borderId="17" xfId="7" applyFont="1" applyFill="1" applyBorder="1" applyAlignment="1">
      <alignment horizontal="left"/>
    </xf>
    <xf numFmtId="0" fontId="19" fillId="2" borderId="19" xfId="7" applyFont="1" applyFill="1" applyBorder="1" applyAlignment="1">
      <alignment horizontal="left"/>
    </xf>
    <xf numFmtId="0" fontId="19" fillId="2" borderId="18" xfId="7" applyFont="1" applyFill="1" applyBorder="1" applyAlignment="1">
      <alignment horizontal="left"/>
    </xf>
    <xf numFmtId="15" fontId="18" fillId="2" borderId="16" xfId="8" applyNumberFormat="1" applyFill="1" applyBorder="1" applyAlignment="1">
      <alignment horizontal="left"/>
    </xf>
    <xf numFmtId="15" fontId="18" fillId="2" borderId="17" xfId="8" applyNumberFormat="1" applyFill="1" applyBorder="1" applyAlignment="1">
      <alignment horizontal="left"/>
    </xf>
    <xf numFmtId="15" fontId="18" fillId="2" borderId="18" xfId="8" applyNumberFormat="1" applyFill="1" applyBorder="1" applyAlignment="1">
      <alignment horizontal="left"/>
    </xf>
    <xf numFmtId="0" fontId="18" fillId="2" borderId="16" xfId="8" applyFill="1" applyBorder="1"/>
    <xf numFmtId="0" fontId="18" fillId="2" borderId="17" xfId="8" applyFill="1" applyBorder="1"/>
    <xf numFmtId="0" fontId="18" fillId="2" borderId="18" xfId="8" applyFill="1" applyBorder="1"/>
    <xf numFmtId="0" fontId="9" fillId="0" borderId="0" xfId="0" applyFont="1" applyFill="1" applyAlignment="1">
      <alignment horizontal="right"/>
    </xf>
  </cellXfs>
  <cellStyles count="10">
    <cellStyle name="Comma" xfId="6" builtinId="3"/>
    <cellStyle name="Hyperlink 2" xfId="8" xr:uid="{DFD90392-2B3F-4F5C-BB5C-374C633425BE}"/>
    <cellStyle name="Normal" xfId="0" builtinId="0"/>
    <cellStyle name="Normal 2" xfId="1" xr:uid="{00000000-0005-0000-0000-000001000000}"/>
    <cellStyle name="Normal 3" xfId="4" xr:uid="{C75F8C6D-5AAE-4A5E-B1F2-8E634FC3E5E3}"/>
    <cellStyle name="Normal 4" xfId="7" xr:uid="{3F0764EF-2B5D-40E5-B477-D2BB53FD6D37}"/>
    <cellStyle name="Percent" xfId="3" builtinId="5"/>
    <cellStyle name="Percent 2" xfId="2" xr:uid="{00000000-0005-0000-0000-000002000000}"/>
    <cellStyle name="Percent 2 2" xfId="5" xr:uid="{743FCD91-089C-40FF-956E-89F3B72D7187}"/>
    <cellStyle name="Percent 3" xfId="9" xr:uid="{03CF7C23-3554-4184-9413-949790123C72}"/>
  </cellStyles>
  <dxfs count="16">
    <dxf>
      <numFmt numFmtId="14" formatCode="0.0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14" formatCode="0.00%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4" formatCode="0.00%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4" formatCode="0.00%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eneva"/>
        <family val="2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eneva"/>
        <family val="2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eneva"/>
        <family val="2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Geneva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Relative Revenue Change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/>
              <a:t>(Change</a:t>
            </a:r>
            <a:r>
              <a:rPr lang="en-US" sz="1200" baseline="0"/>
              <a:t> as a % of Prior Pperiod)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'Chapter 2'!$E$4:$N$4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'Chapter 2'!$E$7:$N$7</c:f>
              <c:numCache>
                <c:formatCode>0.0%</c:formatCode>
                <c:ptCount val="10"/>
                <c:pt idx="0">
                  <c:v>0.1</c:v>
                </c:pt>
                <c:pt idx="1">
                  <c:v>9.0909090909090912E-2</c:v>
                </c:pt>
                <c:pt idx="2">
                  <c:v>8.3333333333333329E-2</c:v>
                </c:pt>
                <c:pt idx="3">
                  <c:v>7.6923076923076927E-2</c:v>
                </c:pt>
                <c:pt idx="4">
                  <c:v>7.1428571428571425E-2</c:v>
                </c:pt>
                <c:pt idx="5">
                  <c:v>6.6666666666666666E-2</c:v>
                </c:pt>
                <c:pt idx="6">
                  <c:v>6.25E-2</c:v>
                </c:pt>
                <c:pt idx="7">
                  <c:v>5.8823529411764705E-2</c:v>
                </c:pt>
                <c:pt idx="8">
                  <c:v>5.5555555555555552E-2</c:v>
                </c:pt>
                <c:pt idx="9">
                  <c:v>5.2631578947368418E-2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FF-4324-A6B5-25294C86ED2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46222688"/>
        <c:axId val="541111168"/>
      </c:scatterChart>
      <c:valAx>
        <c:axId val="546222688"/>
        <c:scaling>
          <c:orientation val="minMax"/>
          <c:max val="1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Period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41111168"/>
        <c:crosses val="autoZero"/>
        <c:crossBetween val="midCat"/>
      </c:valAx>
      <c:valAx>
        <c:axId val="541111168"/>
        <c:scaling>
          <c:orientation val="minMax"/>
          <c:max val="0.1"/>
          <c:min val="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Revenue</a:t>
                </a:r>
                <a:r>
                  <a:rPr lang="en-US" baseline="0"/>
                  <a:t> Change (% of prior period)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3333333333333333E-2"/>
              <c:y val="0.447704505686789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46222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991306307545346"/>
          <c:y val="0.1123429677632017"/>
          <c:w val="0.555343348520978"/>
          <c:h val="0.70716429681822179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openDmnd">
              <a:fgClr>
                <a:srgbClr val="C0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'Tornado Diagram Template'!$B$5:$B$11</c:f>
              <c:strCache>
                <c:ptCount val="7"/>
                <c:pt idx="0">
                  <c:v>DSO (40 - 90 days; Base = 75 days)</c:v>
                </c:pt>
                <c:pt idx="1">
                  <c:v>Taxes as a % of EBITDA (25-45%; Base = 30%)</c:v>
                </c:pt>
                <c:pt idx="2">
                  <c:v>Fixed Asset Turnover (2.7 - 3.5; Base = 3.1)</c:v>
                </c:pt>
                <c:pt idx="3">
                  <c:v>Some other Variable (Low to High; Base = xx)</c:v>
                </c:pt>
                <c:pt idx="4">
                  <c:v>Annual PP&amp;E Expenditure (% of Revenue) (3% - 7%; Base = 5.5%)</c:v>
                </c:pt>
                <c:pt idx="5">
                  <c:v>Projected COGS Margins (50%-80%, Base = 68%)</c:v>
                </c:pt>
                <c:pt idx="6">
                  <c:v>Revenue ACGR (3.0%-12.2%, Base=6.2%)</c:v>
                </c:pt>
              </c:strCache>
            </c:strRef>
          </c:cat>
          <c:val>
            <c:numRef>
              <c:f>'Tornado Diagram Template'!$C$5:$C$11</c:f>
              <c:numCache>
                <c:formatCode>0.0%</c:formatCode>
                <c:ptCount val="7"/>
                <c:pt idx="0">
                  <c:v>0.94985011382119944</c:v>
                </c:pt>
                <c:pt idx="1">
                  <c:v>0.86682524808308792</c:v>
                </c:pt>
                <c:pt idx="2">
                  <c:v>0.84235070836386539</c:v>
                </c:pt>
                <c:pt idx="3">
                  <c:v>0.85</c:v>
                </c:pt>
                <c:pt idx="4">
                  <c:v>0.76103431156127399</c:v>
                </c:pt>
                <c:pt idx="5">
                  <c:v>0.72683426594789735</c:v>
                </c:pt>
                <c:pt idx="6">
                  <c:v>0.68176761685788467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AC-4134-9D2D-BE3449A15725}"/>
            </c:ext>
          </c:extLst>
        </c:ser>
        <c:ser>
          <c:idx val="1"/>
          <c:order val="1"/>
          <c:spPr>
            <a:pattFill prst="pct10">
              <a:fgClr>
                <a:schemeClr val="accent3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'Tornado Diagram Template'!$B$5:$B$11</c:f>
              <c:strCache>
                <c:ptCount val="7"/>
                <c:pt idx="0">
                  <c:v>DSO (40 - 90 days; Base = 75 days)</c:v>
                </c:pt>
                <c:pt idx="1">
                  <c:v>Taxes as a % of EBITDA (25-45%; Base = 30%)</c:v>
                </c:pt>
                <c:pt idx="2">
                  <c:v>Fixed Asset Turnover (2.7 - 3.5; Base = 3.1)</c:v>
                </c:pt>
                <c:pt idx="3">
                  <c:v>Some other Variable (Low to High; Base = xx)</c:v>
                </c:pt>
                <c:pt idx="4">
                  <c:v>Annual PP&amp;E Expenditure (% of Revenue) (3% - 7%; Base = 5.5%)</c:v>
                </c:pt>
                <c:pt idx="5">
                  <c:v>Projected COGS Margins (50%-80%, Base = 68%)</c:v>
                </c:pt>
                <c:pt idx="6">
                  <c:v>Revenue ACGR (3.0%-12.2%, Base=6.2%)</c:v>
                </c:pt>
              </c:strCache>
            </c:strRef>
          </c:cat>
          <c:val>
            <c:numRef>
              <c:f>'Tornado Diagram Template'!$D$5:$D$11</c:f>
              <c:numCache>
                <c:formatCode>0.0%</c:formatCode>
                <c:ptCount val="7"/>
                <c:pt idx="0">
                  <c:v>1.0169284879396443</c:v>
                </c:pt>
                <c:pt idx="1">
                  <c:v>1.0464737415920233</c:v>
                </c:pt>
                <c:pt idx="2">
                  <c:v>1.0714812094114101</c:v>
                </c:pt>
                <c:pt idx="3">
                  <c:v>1.1000000000000001</c:v>
                </c:pt>
                <c:pt idx="4">
                  <c:v>1.1766471089496979</c:v>
                </c:pt>
                <c:pt idx="5">
                  <c:v>1.247573767417296</c:v>
                </c:pt>
                <c:pt idx="6">
                  <c:v>1.286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AC-4134-9D2D-BE3449A157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99843456"/>
        <c:axId val="99853440"/>
      </c:barChart>
      <c:catAx>
        <c:axId val="9984345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99853440"/>
        <c:crossesAt val="1"/>
        <c:auto val="1"/>
        <c:lblAlgn val="ctr"/>
        <c:lblOffset val="100"/>
        <c:noMultiLvlLbl val="0"/>
      </c:catAx>
      <c:valAx>
        <c:axId val="99853440"/>
        <c:scaling>
          <c:orientation val="minMax"/>
          <c:max val="1.3"/>
          <c:min val="0.5"/>
        </c:scaling>
        <c:delete val="0"/>
        <c:axPos val="b"/>
        <c:numFmt formatCode="0.0%" sourceLinked="1"/>
        <c:majorTickMark val="out"/>
        <c:minorTickMark val="none"/>
        <c:tickLblPos val="low"/>
        <c:spPr>
          <a:ln>
            <a:solidFill>
              <a:srgbClr val="0070C0">
                <a:alpha val="36000"/>
              </a:srgbClr>
            </a:solidFill>
          </a:ln>
        </c:spPr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998434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198967</xdr:colOff>
      <xdr:row>9</xdr:row>
      <xdr:rowOff>118533</xdr:rowOff>
    </xdr:from>
    <xdr:to>
      <xdr:col>8</xdr:col>
      <xdr:colOff>300567</xdr:colOff>
      <xdr:row>24</xdr:row>
      <xdr:rowOff>148167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E1BC33-F208-379B-443E-7BEE4D314E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170182</xdr:colOff>
      <xdr:row>13</xdr:row>
      <xdr:rowOff>5715</xdr:rowOff>
    </xdr:from>
    <xdr:to>
      <xdr:col>10</xdr:col>
      <xdr:colOff>249556</xdr:colOff>
      <xdr:row>41</xdr:row>
      <xdr:rowOff>21590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CBA315-D891-4A82-977F-6C1FADC425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133350</xdr:colOff>
      <xdr:row>41</xdr:row>
      <xdr:rowOff>114300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FF82994-0D1F-4DC2-8953-2EC2E65967AA}"/>
            </a:ext>
          </a:extLst>
        </xdr:cNvPr>
        <xdr:cNvSpPr txBox="1"/>
      </xdr:nvSpPr>
      <xdr:spPr>
        <a:xfrm>
          <a:off x="4446270" y="6705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0.56012</cdr:x>
      <cdr:y>0.01552</cdr:y>
    </cdr:from>
    <cdr:to>
      <cdr:x>0.65396</cdr:x>
      <cdr:y>0.22838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457826" y="6667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0.58379</cdr:x>
      <cdr:y>0.01336</cdr:y>
    </cdr:from>
    <cdr:to>
      <cdr:x>0.90832</cdr:x>
      <cdr:y>0.08793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306683" y="60775"/>
          <a:ext cx="2949985" cy="3392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400" b="1" i="0">
              <a:latin typeface="Times New Roman" pitchFamily="18" charset="0"/>
              <a:cs typeface="Times New Roman" pitchFamily="18" charset="0"/>
            </a:rPr>
            <a:t>EnV Sensitivity Analysis</a:t>
          </a:r>
        </a:p>
      </cdr:txBody>
    </cdr:sp>
  </cdr:relSizeAnchor>
  <cdr:relSizeAnchor xmlns:cdr="http://schemas.openxmlformats.org/drawingml/2006/chartDrawing">
    <cdr:from>
      <cdr:x>0.55242</cdr:x>
      <cdr:y>0.89324</cdr:y>
    </cdr:from>
    <cdr:to>
      <cdr:x>0.85719</cdr:x>
      <cdr:y>0.96862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93415" y="4149130"/>
          <a:ext cx="2920351" cy="350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200">
              <a:latin typeface="Times New Roman" pitchFamily="18" charset="0"/>
              <a:cs typeface="Times New Roman" pitchFamily="18" charset="0"/>
            </a:rPr>
            <a:t>Firm's</a:t>
          </a:r>
          <a:r>
            <a:rPr lang="en-US" sz="1200" baseline="0">
              <a:latin typeface="Times New Roman" pitchFamily="18" charset="0"/>
              <a:cs typeface="Times New Roman" pitchFamily="18" charset="0"/>
            </a:rPr>
            <a:t> Enterprise Value</a:t>
          </a:r>
          <a:r>
            <a:rPr lang="en-US" sz="1200">
              <a:latin typeface="Times New Roman" pitchFamily="18" charset="0"/>
              <a:cs typeface="Times New Roman" pitchFamily="18" charset="0"/>
            </a:rPr>
            <a:t> as a % of the Base Case</a:t>
          </a:r>
        </a:p>
      </cdr:txBody>
    </cdr: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9C3967-AC7B-4543-BDB9-570E977D6FAC}" name="Table1" displayName="Table1" ref="A19:L115" totalsRowShown="0" headerRowDxfId="15" dataDxfId="13" headerRowBorderDxfId="14" tableBorderDxfId="12">
  <autoFilter ref="A19:L115" xr:uid="{7D502B8A-0B4A-45CA-9A0E-ABAC062300B6}"/>
  <tableColumns count="12">
    <tableColumn id="1" xr3:uid="{29102216-CF1A-40E0-A56F-2F77AF04D7BF}" name="Industry Name" dataDxfId="11"/>
    <tableColumn id="2" xr3:uid="{55B5DBF6-94B2-417D-A858-98DD3E3C8005}" name="Number of Firms" dataDxfId="10"/>
    <tableColumn id="3" xr3:uid="{6FE0EC9F-FBE5-453A-B00A-8FF1E5404732}" name="Beta" dataDxfId="9"/>
    <tableColumn id="4" xr3:uid="{73014006-35B2-4F53-9965-28D590FBC390}" name="Cost of Equity" dataDxfId="8" dataCellStyle="Percent">
      <calculatedColumnFormula>$D$9+C20*$D$10</calculatedColumnFormula>
    </tableColumn>
    <tableColumn id="5" xr3:uid="{8C1FA5F3-8569-4856-991E-ACB22163C038}" name="E/(D+E)" dataDxfId="7" dataCellStyle="Percent"/>
    <tableColumn id="6" xr3:uid="{50DDF32F-1CEC-458A-A56C-C84F77CAE1DF}" name="Std Dev in Stock" dataDxfId="6" dataCellStyle="Percent"/>
    <tableColumn id="7" xr3:uid="{D7ED60F3-88D7-4CE0-81C4-8FF40E8FC656}" name="Cost of Debt" dataDxfId="5">
      <calculatedColumnFormula>$D$9+VLOOKUP(F20,$G$10:$I$16,3)+$D$11</calculatedColumnFormula>
    </tableColumn>
    <tableColumn id="8" xr3:uid="{31ADFFC3-3101-4412-9BB9-704EB28101AC}" name="Tax Rate" dataDxfId="4"/>
    <tableColumn id="9" xr3:uid="{4CAC13D3-53D7-4314-932D-DA1868A17262}" name="After-tax Cost of Debt" dataDxfId="3" dataCellStyle="Percent">
      <calculatedColumnFormula>IF($F$12="Yes",G20*(1-$F$13),G20*(1-H20))</calculatedColumnFormula>
    </tableColumn>
    <tableColumn id="10" xr3:uid="{2786D7AC-6DD5-4EAA-96EF-FA495A06C763}" name="D/(D+E)" dataDxfId="2">
      <calculatedColumnFormula>1-E20</calculatedColumnFormula>
    </tableColumn>
    <tableColumn id="11" xr3:uid="{B0CF7110-CED0-4BD1-90AD-CD88CF1D294A}" name="Cost of Capital" dataDxfId="1" dataCellStyle="Percent">
      <calculatedColumnFormula>D20*(1-J20)+I20*J20</calculatedColumnFormula>
    </tableColumn>
    <tableColumn id="12" xr3:uid="{62854F35-00F0-45CD-967C-FD73CBB9CE6C}" name="Cost of Capital (Local Currency)" dataDxfId="0">
      <calculatedColumnFormula>(1+K20)*((1+$C$16)/(1+$C$17))-1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ern.nyu.edu/~adamodar/New_Home_Page/data.html" TargetMode="External"/><Relationship Id="rId7" Type="http://schemas.openxmlformats.org/officeDocument/2006/relationships/table" Target="../tables/table1.xml"/><Relationship Id="rId2" Type="http://schemas.openxmlformats.org/officeDocument/2006/relationships/hyperlink" Target="http://www.damodaran.com/" TargetMode="External"/><Relationship Id="rId1" Type="http://schemas.openxmlformats.org/officeDocument/2006/relationships/hyperlink" Target="mailto:adamodar@stern.nyu.edu?subject=Data%20on%20website" TargetMode="External"/><Relationship Id="rId6" Type="http://schemas.openxmlformats.org/officeDocument/2006/relationships/hyperlink" Target="https://youtu.be/ypvQuufNUrY" TargetMode="External"/><Relationship Id="rId5" Type="http://schemas.openxmlformats.org/officeDocument/2006/relationships/hyperlink" Target="http://www.stern.nyu.edu/~adamodar/New_Home_Page/datafile/variable.htm" TargetMode="External"/><Relationship Id="rId4" Type="http://schemas.openxmlformats.org/officeDocument/2006/relationships/hyperlink" Target="http://www.stern.nyu.edu/~adamodar/pc/datasets/indname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1AD40-B1A3-444C-A976-F70A963DE2C8}">
  <dimension ref="A1:N69"/>
  <sheetViews>
    <sheetView tabSelected="1" zoomScale="90" zoomScaleNormal="90" workbookViewId="0">
      <selection activeCell="A2" sqref="A2"/>
    </sheetView>
  </sheetViews>
  <sheetFormatPr defaultRowHeight="14.1"/>
  <cols>
    <col min="1" max="1" width="8.83984375" style="95"/>
    <col min="2" max="2" width="9.47265625" style="95" customWidth="1"/>
    <col min="3" max="3" width="18.05078125" style="95" customWidth="1"/>
    <col min="4" max="16384" width="8.83984375" style="95"/>
  </cols>
  <sheetData>
    <row r="1" spans="1:14">
      <c r="A1" s="94" t="s">
        <v>65</v>
      </c>
    </row>
    <row r="2" spans="1:14">
      <c r="A2" s="94"/>
    </row>
    <row r="3" spans="1:14">
      <c r="A3" s="94" t="s">
        <v>210</v>
      </c>
    </row>
    <row r="4" spans="1:14">
      <c r="A4" s="94"/>
      <c r="C4" s="116" t="s">
        <v>211</v>
      </c>
      <c r="D4" s="111">
        <v>0</v>
      </c>
      <c r="E4" s="111">
        <v>1</v>
      </c>
      <c r="F4" s="111">
        <v>2</v>
      </c>
      <c r="G4" s="111">
        <v>3</v>
      </c>
      <c r="H4" s="111">
        <v>4</v>
      </c>
      <c r="I4" s="111">
        <v>5</v>
      </c>
      <c r="J4" s="111">
        <v>6</v>
      </c>
      <c r="K4" s="111">
        <v>7</v>
      </c>
      <c r="L4" s="111">
        <v>8</v>
      </c>
      <c r="M4" s="111">
        <v>9</v>
      </c>
      <c r="N4" s="110">
        <v>10</v>
      </c>
    </row>
    <row r="5" spans="1:14">
      <c r="A5" s="94"/>
      <c r="C5" s="117" t="s">
        <v>214</v>
      </c>
      <c r="D5" s="112">
        <v>1000</v>
      </c>
      <c r="E5" s="112">
        <f>D5+100</f>
        <v>1100</v>
      </c>
      <c r="F5" s="112">
        <f t="shared" ref="F5:N5" si="0">E5+100</f>
        <v>1200</v>
      </c>
      <c r="G5" s="112">
        <f t="shared" si="0"/>
        <v>1300</v>
      </c>
      <c r="H5" s="112">
        <f t="shared" si="0"/>
        <v>1400</v>
      </c>
      <c r="I5" s="112">
        <f t="shared" si="0"/>
        <v>1500</v>
      </c>
      <c r="J5" s="112">
        <f t="shared" si="0"/>
        <v>1600</v>
      </c>
      <c r="K5" s="112">
        <f t="shared" si="0"/>
        <v>1700</v>
      </c>
      <c r="L5" s="112">
        <f t="shared" si="0"/>
        <v>1800</v>
      </c>
      <c r="M5" s="112">
        <f t="shared" si="0"/>
        <v>1900</v>
      </c>
      <c r="N5" s="108">
        <f t="shared" si="0"/>
        <v>2000</v>
      </c>
    </row>
    <row r="6" spans="1:14">
      <c r="A6" s="94"/>
      <c r="C6" s="117" t="s">
        <v>212</v>
      </c>
      <c r="D6" s="113" t="s">
        <v>215</v>
      </c>
      <c r="E6" s="112">
        <f>(E5-D5)</f>
        <v>100</v>
      </c>
      <c r="F6" s="112">
        <f t="shared" ref="F6:N6" si="1">(F5-E5)</f>
        <v>100</v>
      </c>
      <c r="G6" s="112">
        <f t="shared" si="1"/>
        <v>100</v>
      </c>
      <c r="H6" s="112">
        <f t="shared" si="1"/>
        <v>100</v>
      </c>
      <c r="I6" s="112">
        <f t="shared" si="1"/>
        <v>100</v>
      </c>
      <c r="J6" s="112">
        <f t="shared" si="1"/>
        <v>100</v>
      </c>
      <c r="K6" s="112">
        <f t="shared" si="1"/>
        <v>100</v>
      </c>
      <c r="L6" s="112">
        <f t="shared" si="1"/>
        <v>100</v>
      </c>
      <c r="M6" s="112">
        <f t="shared" si="1"/>
        <v>100</v>
      </c>
      <c r="N6" s="108">
        <f t="shared" si="1"/>
        <v>100</v>
      </c>
    </row>
    <row r="7" spans="1:14">
      <c r="A7" s="94"/>
      <c r="C7" s="118" t="s">
        <v>213</v>
      </c>
      <c r="D7" s="114" t="s">
        <v>215</v>
      </c>
      <c r="E7" s="115">
        <f>E6/D5</f>
        <v>0.1</v>
      </c>
      <c r="F7" s="115">
        <f t="shared" ref="F7:N7" si="2">F6/E5</f>
        <v>9.0909090909090912E-2</v>
      </c>
      <c r="G7" s="115">
        <f t="shared" si="2"/>
        <v>8.3333333333333329E-2</v>
      </c>
      <c r="H7" s="115">
        <f t="shared" si="2"/>
        <v>7.6923076923076927E-2</v>
      </c>
      <c r="I7" s="115">
        <f t="shared" si="2"/>
        <v>7.1428571428571425E-2</v>
      </c>
      <c r="J7" s="115">
        <f t="shared" si="2"/>
        <v>6.6666666666666666E-2</v>
      </c>
      <c r="K7" s="115">
        <f t="shared" si="2"/>
        <v>6.25E-2</v>
      </c>
      <c r="L7" s="115">
        <f t="shared" si="2"/>
        <v>5.8823529411764705E-2</v>
      </c>
      <c r="M7" s="115">
        <f t="shared" si="2"/>
        <v>5.5555555555555552E-2</v>
      </c>
      <c r="N7" s="109">
        <f t="shared" si="2"/>
        <v>5.2631578947368418E-2</v>
      </c>
    </row>
    <row r="8" spans="1:14">
      <c r="A8" s="94"/>
    </row>
    <row r="9" spans="1:14">
      <c r="A9" s="94" t="s">
        <v>216</v>
      </c>
    </row>
    <row r="10" spans="1:14">
      <c r="A10" s="94"/>
    </row>
    <row r="11" spans="1:14">
      <c r="A11" s="94"/>
    </row>
    <row r="12" spans="1:14">
      <c r="A12" s="94"/>
    </row>
    <row r="13" spans="1:14">
      <c r="A13" s="94"/>
    </row>
    <row r="14" spans="1:14">
      <c r="A14" s="94"/>
    </row>
    <row r="15" spans="1:14">
      <c r="A15" s="94"/>
    </row>
    <row r="16" spans="1:14">
      <c r="A16" s="94"/>
    </row>
    <row r="17" spans="1:14">
      <c r="A17" s="94"/>
    </row>
    <row r="18" spans="1:14">
      <c r="A18" s="94"/>
    </row>
    <row r="19" spans="1:14">
      <c r="A19" s="94"/>
    </row>
    <row r="20" spans="1:14">
      <c r="A20" s="94"/>
    </row>
    <row r="21" spans="1:14">
      <c r="A21" s="94"/>
    </row>
    <row r="22" spans="1:14">
      <c r="A22" s="94"/>
    </row>
    <row r="23" spans="1:14">
      <c r="A23" s="94"/>
    </row>
    <row r="24" spans="1:14">
      <c r="A24" s="94"/>
    </row>
    <row r="25" spans="1:14">
      <c r="A25" s="94"/>
    </row>
    <row r="26" spans="1:14">
      <c r="A26" s="94"/>
    </row>
    <row r="27" spans="1:14">
      <c r="A27" s="94" t="s">
        <v>221</v>
      </c>
    </row>
    <row r="28" spans="1:14">
      <c r="A28" s="94"/>
      <c r="B28" s="122" t="s">
        <v>22</v>
      </c>
      <c r="C28" s="123"/>
      <c r="D28" s="124"/>
    </row>
    <row r="29" spans="1:14">
      <c r="A29" s="94"/>
      <c r="B29" s="125"/>
      <c r="C29" s="121" t="s">
        <v>222</v>
      </c>
      <c r="D29" s="126">
        <v>1000</v>
      </c>
    </row>
    <row r="30" spans="1:14">
      <c r="A30" s="94"/>
      <c r="B30" s="127"/>
      <c r="C30" s="98" t="s">
        <v>223</v>
      </c>
      <c r="D30" s="128">
        <v>0.1</v>
      </c>
    </row>
    <row r="31" spans="1:14">
      <c r="A31" s="94"/>
    </row>
    <row r="32" spans="1:14">
      <c r="A32" s="94"/>
      <c r="B32" s="129"/>
      <c r="C32" s="130" t="s">
        <v>24</v>
      </c>
      <c r="D32" s="111">
        <v>0</v>
      </c>
      <c r="E32" s="111">
        <v>1</v>
      </c>
      <c r="F32" s="111">
        <v>2</v>
      </c>
      <c r="G32" s="111">
        <v>3</v>
      </c>
      <c r="H32" s="111">
        <v>4</v>
      </c>
      <c r="I32" s="111">
        <v>5</v>
      </c>
      <c r="J32" s="111">
        <v>6</v>
      </c>
      <c r="K32" s="111">
        <v>7</v>
      </c>
      <c r="L32" s="111">
        <v>8</v>
      </c>
      <c r="M32" s="111">
        <v>9</v>
      </c>
      <c r="N32" s="111">
        <v>10</v>
      </c>
    </row>
    <row r="33" spans="1:14">
      <c r="A33" s="94"/>
      <c r="B33" s="129"/>
      <c r="C33" s="130" t="s">
        <v>224</v>
      </c>
      <c r="D33" s="131">
        <f>D29</f>
        <v>1000</v>
      </c>
      <c r="E33" s="131">
        <f>D33*(1+$D$30)</f>
        <v>1100</v>
      </c>
      <c r="F33" s="131">
        <f t="shared" ref="F33:N33" si="3">E33*(1+$D$30)</f>
        <v>1210</v>
      </c>
      <c r="G33" s="131">
        <f t="shared" si="3"/>
        <v>1331</v>
      </c>
      <c r="H33" s="131">
        <f t="shared" si="3"/>
        <v>1464.1000000000001</v>
      </c>
      <c r="I33" s="131">
        <f t="shared" si="3"/>
        <v>1610.5100000000002</v>
      </c>
      <c r="J33" s="131">
        <f t="shared" si="3"/>
        <v>1771.5610000000004</v>
      </c>
      <c r="K33" s="131">
        <f t="shared" si="3"/>
        <v>1948.7171000000005</v>
      </c>
      <c r="L33" s="131">
        <f t="shared" si="3"/>
        <v>2143.5888100000006</v>
      </c>
      <c r="M33" s="131">
        <f t="shared" si="3"/>
        <v>2357.9476910000008</v>
      </c>
      <c r="N33" s="131">
        <f t="shared" si="3"/>
        <v>2593.7424601000012</v>
      </c>
    </row>
    <row r="34" spans="1:14">
      <c r="A34" s="94"/>
      <c r="C34" s="96"/>
    </row>
    <row r="35" spans="1:14">
      <c r="A35" s="94"/>
      <c r="C35" s="154" t="s">
        <v>225</v>
      </c>
    </row>
    <row r="36" spans="1:14">
      <c r="A36" s="94"/>
      <c r="C36" s="132" t="s">
        <v>226</v>
      </c>
      <c r="D36" s="95" t="s">
        <v>227</v>
      </c>
    </row>
    <row r="37" spans="1:14">
      <c r="A37" s="94"/>
      <c r="C37" s="133" t="s">
        <v>226</v>
      </c>
      <c r="D37" s="95" t="s">
        <v>228</v>
      </c>
    </row>
    <row r="38" spans="1:14">
      <c r="A38" s="94"/>
    </row>
    <row r="39" spans="1:14">
      <c r="A39" s="94"/>
    </row>
    <row r="40" spans="1:14">
      <c r="A40" s="94" t="s">
        <v>209</v>
      </c>
    </row>
    <row r="42" spans="1:14">
      <c r="C42" s="96" t="s">
        <v>59</v>
      </c>
      <c r="D42" s="97">
        <v>0.1</v>
      </c>
    </row>
    <row r="44" spans="1:14">
      <c r="C44" s="98" t="s">
        <v>24</v>
      </c>
      <c r="D44" s="99">
        <v>0</v>
      </c>
      <c r="E44" s="99">
        <v>1</v>
      </c>
      <c r="F44" s="99">
        <v>2</v>
      </c>
      <c r="G44" s="99">
        <v>3</v>
      </c>
    </row>
    <row r="45" spans="1:14">
      <c r="C45" s="96" t="s">
        <v>60</v>
      </c>
      <c r="D45" s="100">
        <v>100</v>
      </c>
      <c r="E45" s="101">
        <f>D45*(1+$D$42)</f>
        <v>110.00000000000001</v>
      </c>
      <c r="F45" s="101">
        <f t="shared" ref="F45:G45" si="4">E45*(1+$D$42)</f>
        <v>121.00000000000003</v>
      </c>
      <c r="G45" s="101">
        <f t="shared" si="4"/>
        <v>133.10000000000005</v>
      </c>
    </row>
    <row r="50" spans="1:14">
      <c r="A50" s="94" t="s">
        <v>208</v>
      </c>
    </row>
    <row r="51" spans="1:14">
      <c r="C51" s="96" t="s">
        <v>64</v>
      </c>
      <c r="D51" s="97">
        <v>0.15</v>
      </c>
    </row>
    <row r="53" spans="1:14">
      <c r="C53" s="98" t="s">
        <v>24</v>
      </c>
      <c r="D53" s="102">
        <v>0</v>
      </c>
      <c r="E53" s="102">
        <v>1</v>
      </c>
      <c r="F53" s="102">
        <v>2</v>
      </c>
      <c r="G53" s="102">
        <v>3</v>
      </c>
      <c r="H53" s="102">
        <v>4</v>
      </c>
      <c r="I53" s="102">
        <v>5</v>
      </c>
      <c r="J53" s="102">
        <v>6</v>
      </c>
      <c r="K53" s="102">
        <v>7</v>
      </c>
      <c r="L53" s="102">
        <v>8</v>
      </c>
      <c r="M53" s="102">
        <v>9</v>
      </c>
      <c r="N53" s="102">
        <v>10</v>
      </c>
    </row>
    <row r="54" spans="1:14">
      <c r="C54" s="96" t="s">
        <v>61</v>
      </c>
      <c r="D54" s="103">
        <v>1000</v>
      </c>
      <c r="E54" s="104">
        <f>D54*(1+$D$51)</f>
        <v>1150</v>
      </c>
      <c r="F54" s="104">
        <f t="shared" ref="F54:N54" si="5">E54*(1+$D$51)</f>
        <v>1322.5</v>
      </c>
      <c r="G54" s="104">
        <f t="shared" si="5"/>
        <v>1520.8749999999998</v>
      </c>
      <c r="H54" s="104">
        <f t="shared" si="5"/>
        <v>1749.0062499999997</v>
      </c>
      <c r="I54" s="104">
        <f t="shared" si="5"/>
        <v>2011.3571874999996</v>
      </c>
      <c r="J54" s="104">
        <f t="shared" si="5"/>
        <v>2313.0607656249995</v>
      </c>
      <c r="K54" s="104">
        <f t="shared" si="5"/>
        <v>2660.0198804687493</v>
      </c>
      <c r="L54" s="104">
        <f t="shared" si="5"/>
        <v>3059.0228625390614</v>
      </c>
      <c r="M54" s="104">
        <f t="shared" si="5"/>
        <v>3517.8762919199203</v>
      </c>
      <c r="N54" s="104">
        <f t="shared" si="5"/>
        <v>4045.5577357079078</v>
      </c>
    </row>
    <row r="60" spans="1:14">
      <c r="A60" s="94" t="s">
        <v>207</v>
      </c>
    </row>
    <row r="62" spans="1:14">
      <c r="C62" s="96" t="s">
        <v>64</v>
      </c>
      <c r="D62" s="97">
        <v>0.15</v>
      </c>
    </row>
    <row r="63" spans="1:14">
      <c r="C63" s="96" t="s">
        <v>10</v>
      </c>
      <c r="D63" s="97">
        <v>0.15</v>
      </c>
    </row>
    <row r="65" spans="3:14">
      <c r="C65" s="98" t="s">
        <v>24</v>
      </c>
      <c r="D65" s="102">
        <v>0</v>
      </c>
      <c r="E65" s="102">
        <v>1</v>
      </c>
      <c r="F65" s="102">
        <v>2</v>
      </c>
      <c r="G65" s="102">
        <v>3</v>
      </c>
      <c r="H65" s="102">
        <v>4</v>
      </c>
      <c r="I65" s="102">
        <v>5</v>
      </c>
      <c r="J65" s="102">
        <v>6</v>
      </c>
      <c r="K65" s="102">
        <v>7</v>
      </c>
      <c r="L65" s="102">
        <v>8</v>
      </c>
      <c r="M65" s="102">
        <v>9</v>
      </c>
      <c r="N65" s="102">
        <v>10</v>
      </c>
    </row>
    <row r="66" spans="3:14">
      <c r="C66" s="96" t="s">
        <v>62</v>
      </c>
      <c r="D66" s="103">
        <v>1000</v>
      </c>
      <c r="E66" s="104">
        <f>D66*(1+$D$62)</f>
        <v>1150</v>
      </c>
      <c r="F66" s="104">
        <f t="shared" ref="F66:N66" si="6">E66*(1+$D$62)</f>
        <v>1322.5</v>
      </c>
      <c r="G66" s="104">
        <f t="shared" si="6"/>
        <v>1520.8749999999998</v>
      </c>
      <c r="H66" s="104">
        <f t="shared" si="6"/>
        <v>1749.0062499999997</v>
      </c>
      <c r="I66" s="104">
        <f t="shared" si="6"/>
        <v>2011.3571874999996</v>
      </c>
      <c r="J66" s="104">
        <f t="shared" si="6"/>
        <v>2313.0607656249995</v>
      </c>
      <c r="K66" s="104">
        <f t="shared" si="6"/>
        <v>2660.0198804687493</v>
      </c>
      <c r="L66" s="104">
        <f t="shared" si="6"/>
        <v>3059.0228625390614</v>
      </c>
      <c r="M66" s="104">
        <f t="shared" si="6"/>
        <v>3517.8762919199203</v>
      </c>
      <c r="N66" s="104">
        <f t="shared" si="6"/>
        <v>4045.5577357079078</v>
      </c>
    </row>
    <row r="67" spans="3:14">
      <c r="C67" s="96" t="s">
        <v>11</v>
      </c>
      <c r="D67" s="105">
        <f>1/((1+$D$63)^D65)</f>
        <v>1</v>
      </c>
      <c r="E67" s="105">
        <f t="shared" ref="E67:N67" si="7">1/((1+$D$63)^E65)</f>
        <v>0.86956521739130443</v>
      </c>
      <c r="F67" s="105">
        <f t="shared" si="7"/>
        <v>0.7561436672967865</v>
      </c>
      <c r="G67" s="105">
        <f t="shared" si="7"/>
        <v>0.65751623243198831</v>
      </c>
      <c r="H67" s="105">
        <f t="shared" si="7"/>
        <v>0.57175324559303342</v>
      </c>
      <c r="I67" s="105">
        <f t="shared" si="7"/>
        <v>0.49717673529828987</v>
      </c>
      <c r="J67" s="105">
        <f t="shared" si="7"/>
        <v>0.43232759591155645</v>
      </c>
      <c r="K67" s="105">
        <f t="shared" si="7"/>
        <v>0.37593703992309269</v>
      </c>
      <c r="L67" s="105">
        <f t="shared" si="7"/>
        <v>0.32690177384616753</v>
      </c>
      <c r="M67" s="105">
        <f t="shared" si="7"/>
        <v>0.28426241204014574</v>
      </c>
      <c r="N67" s="105">
        <f t="shared" si="7"/>
        <v>0.24718470612186585</v>
      </c>
    </row>
    <row r="68" spans="3:14">
      <c r="C68" s="96" t="s">
        <v>63</v>
      </c>
      <c r="D68" s="106">
        <f>D66</f>
        <v>1000</v>
      </c>
      <c r="E68" s="106">
        <f>D68</f>
        <v>1000</v>
      </c>
      <c r="F68" s="106">
        <f t="shared" ref="F68:N68" si="8">E68</f>
        <v>1000</v>
      </c>
      <c r="G68" s="106">
        <f t="shared" si="8"/>
        <v>1000</v>
      </c>
      <c r="H68" s="106">
        <f t="shared" si="8"/>
        <v>1000</v>
      </c>
      <c r="I68" s="106">
        <f t="shared" si="8"/>
        <v>1000</v>
      </c>
      <c r="J68" s="106">
        <f t="shared" si="8"/>
        <v>1000</v>
      </c>
      <c r="K68" s="106">
        <f t="shared" si="8"/>
        <v>1000</v>
      </c>
      <c r="L68" s="106">
        <f t="shared" si="8"/>
        <v>1000</v>
      </c>
      <c r="M68" s="106">
        <f t="shared" si="8"/>
        <v>1000</v>
      </c>
      <c r="N68" s="106">
        <f t="shared" si="8"/>
        <v>1000</v>
      </c>
    </row>
    <row r="69" spans="3:14">
      <c r="D69" s="107"/>
      <c r="E69" s="105"/>
      <c r="F69" s="105"/>
      <c r="G69" s="105"/>
      <c r="H69" s="105"/>
      <c r="I69" s="105"/>
      <c r="J69" s="105"/>
      <c r="K69" s="105"/>
      <c r="L69" s="105"/>
      <c r="M69" s="105"/>
      <c r="N69" s="10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A1894-30B7-4626-8C0A-7E0CB097193B}">
  <dimension ref="B2:I8"/>
  <sheetViews>
    <sheetView workbookViewId="0">
      <selection activeCell="H20" sqref="H20"/>
    </sheetView>
  </sheetViews>
  <sheetFormatPr defaultRowHeight="14.1"/>
  <cols>
    <col min="1" max="16384" width="8.83984375" style="1"/>
  </cols>
  <sheetData>
    <row r="2" spans="2:9">
      <c r="B2" s="1" t="s">
        <v>66</v>
      </c>
    </row>
    <row r="4" spans="2:9">
      <c r="E4" s="13" t="s">
        <v>68</v>
      </c>
      <c r="F4" s="52">
        <v>0.14869827407464375</v>
      </c>
      <c r="G4" s="119" t="s">
        <v>217</v>
      </c>
    </row>
    <row r="5" spans="2:9">
      <c r="E5" s="13" t="s">
        <v>67</v>
      </c>
      <c r="F5" s="51">
        <v>1000</v>
      </c>
    </row>
    <row r="7" spans="2:9">
      <c r="C7" s="1" t="s">
        <v>24</v>
      </c>
      <c r="D7" s="1">
        <v>0</v>
      </c>
      <c r="E7" s="1">
        <v>1</v>
      </c>
      <c r="F7" s="1">
        <v>2</v>
      </c>
      <c r="G7" s="1">
        <v>3</v>
      </c>
      <c r="H7" s="1">
        <v>4</v>
      </c>
      <c r="I7" s="1">
        <v>5</v>
      </c>
    </row>
    <row r="8" spans="2:9">
      <c r="D8" s="21">
        <f>F5</f>
        <v>1000</v>
      </c>
      <c r="E8" s="21">
        <f>D8*(1+$F$4)</f>
        <v>1148.6982740746439</v>
      </c>
      <c r="F8" s="21">
        <f t="shared" ref="F8:I8" si="0">E8*(1+$F$4)</f>
        <v>1319.5077248620657</v>
      </c>
      <c r="G8" s="21">
        <f t="shared" si="0"/>
        <v>1515.716246177215</v>
      </c>
      <c r="H8" s="21">
        <f t="shared" si="0"/>
        <v>1741.1006359706648</v>
      </c>
      <c r="I8" s="21">
        <f t="shared" si="0"/>
        <v>1999.9992955297676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6D1C4-17A1-4CC5-B8A1-1D8DAAFC025D}">
  <dimension ref="A1:S36"/>
  <sheetViews>
    <sheetView zoomScale="80" zoomScaleNormal="80" workbookViewId="0">
      <selection activeCell="A2" sqref="A2"/>
    </sheetView>
  </sheetViews>
  <sheetFormatPr defaultRowHeight="14.1"/>
  <cols>
    <col min="1" max="2" width="8.83984375" style="1"/>
    <col min="3" max="3" width="18.26171875" style="1" customWidth="1"/>
    <col min="4" max="16384" width="8.83984375" style="1"/>
  </cols>
  <sheetData>
    <row r="1" spans="1:19">
      <c r="A1" s="12" t="s">
        <v>205</v>
      </c>
    </row>
    <row r="3" spans="1:19">
      <c r="B3" s="1" t="s">
        <v>22</v>
      </c>
    </row>
    <row r="4" spans="1:19">
      <c r="C4" s="13" t="s">
        <v>10</v>
      </c>
      <c r="D4" s="14">
        <v>0</v>
      </c>
    </row>
    <row r="5" spans="1:19">
      <c r="C5" s="13"/>
    </row>
    <row r="6" spans="1:19">
      <c r="C6" s="13"/>
    </row>
    <row r="7" spans="1:19">
      <c r="C7" s="13"/>
    </row>
    <row r="8" spans="1:19">
      <c r="C8" s="13"/>
    </row>
    <row r="9" spans="1:19">
      <c r="C9" s="13"/>
    </row>
    <row r="10" spans="1:19">
      <c r="C10" s="13"/>
    </row>
    <row r="11" spans="1:19">
      <c r="C11" s="13"/>
      <c r="D11" s="14"/>
    </row>
    <row r="14" spans="1:19">
      <c r="C14" s="13" t="s">
        <v>12</v>
      </c>
      <c r="D14" s="1">
        <v>0</v>
      </c>
      <c r="E14" s="1">
        <v>1</v>
      </c>
      <c r="F14" s="1">
        <v>2</v>
      </c>
      <c r="G14" s="1">
        <v>3</v>
      </c>
      <c r="H14" s="1">
        <v>4</v>
      </c>
      <c r="I14" s="1">
        <v>5</v>
      </c>
      <c r="J14" s="1">
        <v>6</v>
      </c>
      <c r="K14" s="1">
        <v>7</v>
      </c>
      <c r="L14" s="1">
        <v>8</v>
      </c>
      <c r="M14" s="1">
        <v>9</v>
      </c>
      <c r="N14" s="1">
        <v>10</v>
      </c>
      <c r="O14" s="1">
        <v>11</v>
      </c>
      <c r="P14" s="1">
        <v>12</v>
      </c>
      <c r="Q14" s="1">
        <v>13</v>
      </c>
      <c r="R14" s="1">
        <v>14</v>
      </c>
      <c r="S14" s="1">
        <v>15</v>
      </c>
    </row>
    <row r="15" spans="1:19">
      <c r="B15" s="16" t="s">
        <v>13</v>
      </c>
    </row>
    <row r="16" spans="1:19">
      <c r="C16" s="13" t="s">
        <v>17</v>
      </c>
    </row>
    <row r="17" spans="2:19">
      <c r="C17" s="13" t="s">
        <v>14</v>
      </c>
    </row>
    <row r="18" spans="2:19">
      <c r="C18" s="13" t="s">
        <v>1</v>
      </c>
    </row>
    <row r="20" spans="2:19">
      <c r="B20" s="16" t="s">
        <v>15</v>
      </c>
    </row>
    <row r="21" spans="2:19">
      <c r="C21" s="13" t="s">
        <v>16</v>
      </c>
    </row>
    <row r="22" spans="2:19">
      <c r="C22" s="13" t="s">
        <v>0</v>
      </c>
    </row>
    <row r="23" spans="2:19">
      <c r="C23" s="13" t="s">
        <v>18</v>
      </c>
    </row>
    <row r="25" spans="2:19">
      <c r="B25" s="15" t="s">
        <v>20</v>
      </c>
    </row>
    <row r="26" spans="2:19">
      <c r="C26" s="13" t="s">
        <v>19</v>
      </c>
    </row>
    <row r="28" spans="2:19">
      <c r="B28" s="16" t="s">
        <v>23</v>
      </c>
    </row>
    <row r="29" spans="2:19">
      <c r="C29" s="13" t="s">
        <v>21</v>
      </c>
      <c r="D29" s="1">
        <f>SUM(D18,D21:D23,D26)</f>
        <v>0</v>
      </c>
      <c r="E29" s="1">
        <f t="shared" ref="E29:S29" si="0">SUM(E18,E21:E23,E26)</f>
        <v>0</v>
      </c>
      <c r="F29" s="1">
        <f t="shared" si="0"/>
        <v>0</v>
      </c>
      <c r="G29" s="1">
        <f t="shared" si="0"/>
        <v>0</v>
      </c>
      <c r="H29" s="1">
        <f t="shared" si="0"/>
        <v>0</v>
      </c>
      <c r="I29" s="1">
        <f t="shared" si="0"/>
        <v>0</v>
      </c>
      <c r="J29" s="1">
        <f t="shared" si="0"/>
        <v>0</v>
      </c>
      <c r="K29" s="1">
        <f t="shared" si="0"/>
        <v>0</v>
      </c>
      <c r="L29" s="1">
        <f t="shared" si="0"/>
        <v>0</v>
      </c>
      <c r="M29" s="1">
        <f t="shared" si="0"/>
        <v>0</v>
      </c>
      <c r="N29" s="1">
        <f t="shared" si="0"/>
        <v>0</v>
      </c>
      <c r="O29" s="1">
        <f t="shared" si="0"/>
        <v>0</v>
      </c>
      <c r="P29" s="1">
        <f t="shared" si="0"/>
        <v>0</v>
      </c>
      <c r="Q29" s="1">
        <f t="shared" si="0"/>
        <v>0</v>
      </c>
      <c r="R29" s="1">
        <f t="shared" si="0"/>
        <v>0</v>
      </c>
      <c r="S29" s="1">
        <f t="shared" si="0"/>
        <v>0</v>
      </c>
    </row>
    <row r="30" spans="2:19">
      <c r="C30" s="13" t="s">
        <v>11</v>
      </c>
      <c r="D30" s="17">
        <f>1/((1+$D$4)^D14)</f>
        <v>1</v>
      </c>
      <c r="E30" s="17">
        <f t="shared" ref="E30:S30" si="1">1/((1+$D$4)^E14)</f>
        <v>1</v>
      </c>
      <c r="F30" s="17">
        <f t="shared" si="1"/>
        <v>1</v>
      </c>
      <c r="G30" s="17">
        <f t="shared" si="1"/>
        <v>1</v>
      </c>
      <c r="H30" s="17">
        <f t="shared" si="1"/>
        <v>1</v>
      </c>
      <c r="I30" s="17">
        <f t="shared" si="1"/>
        <v>1</v>
      </c>
      <c r="J30" s="17">
        <f t="shared" si="1"/>
        <v>1</v>
      </c>
      <c r="K30" s="17">
        <f t="shared" si="1"/>
        <v>1</v>
      </c>
      <c r="L30" s="17">
        <f t="shared" si="1"/>
        <v>1</v>
      </c>
      <c r="M30" s="17">
        <f t="shared" si="1"/>
        <v>1</v>
      </c>
      <c r="N30" s="17">
        <f t="shared" si="1"/>
        <v>1</v>
      </c>
      <c r="O30" s="17">
        <f t="shared" si="1"/>
        <v>1</v>
      </c>
      <c r="P30" s="17">
        <f t="shared" si="1"/>
        <v>1</v>
      </c>
      <c r="Q30" s="17">
        <f t="shared" si="1"/>
        <v>1</v>
      </c>
      <c r="R30" s="17">
        <f t="shared" si="1"/>
        <v>1</v>
      </c>
      <c r="S30" s="17">
        <f t="shared" si="1"/>
        <v>1</v>
      </c>
    </row>
    <row r="31" spans="2:19">
      <c r="C31" s="13" t="s">
        <v>2</v>
      </c>
      <c r="D31" s="1">
        <f>D29*D30</f>
        <v>0</v>
      </c>
      <c r="E31" s="1">
        <f t="shared" ref="E31:S31" si="2">E29*E30</f>
        <v>0</v>
      </c>
      <c r="F31" s="1">
        <f t="shared" si="2"/>
        <v>0</v>
      </c>
      <c r="G31" s="1">
        <f t="shared" si="2"/>
        <v>0</v>
      </c>
      <c r="H31" s="1">
        <f t="shared" si="2"/>
        <v>0</v>
      </c>
      <c r="I31" s="1">
        <f t="shared" si="2"/>
        <v>0</v>
      </c>
      <c r="J31" s="1">
        <f t="shared" si="2"/>
        <v>0</v>
      </c>
      <c r="K31" s="1">
        <f t="shared" si="2"/>
        <v>0</v>
      </c>
      <c r="L31" s="1">
        <f t="shared" si="2"/>
        <v>0</v>
      </c>
      <c r="M31" s="1">
        <f t="shared" si="2"/>
        <v>0</v>
      </c>
      <c r="N31" s="1">
        <f t="shared" si="2"/>
        <v>0</v>
      </c>
      <c r="O31" s="1">
        <f t="shared" si="2"/>
        <v>0</v>
      </c>
      <c r="P31" s="1">
        <f t="shared" si="2"/>
        <v>0</v>
      </c>
      <c r="Q31" s="1">
        <f t="shared" si="2"/>
        <v>0</v>
      </c>
      <c r="R31" s="1">
        <f t="shared" si="2"/>
        <v>0</v>
      </c>
      <c r="S31" s="1">
        <f t="shared" si="2"/>
        <v>0</v>
      </c>
    </row>
    <row r="32" spans="2:19">
      <c r="C32" s="13" t="s">
        <v>3</v>
      </c>
      <c r="D32" s="1">
        <f>D31</f>
        <v>0</v>
      </c>
      <c r="E32" s="1">
        <f>D32+E31</f>
        <v>0</v>
      </c>
      <c r="F32" s="1">
        <f t="shared" ref="F32:S32" si="3">E32+F31</f>
        <v>0</v>
      </c>
      <c r="G32" s="1">
        <f t="shared" si="3"/>
        <v>0</v>
      </c>
      <c r="H32" s="1">
        <f t="shared" si="3"/>
        <v>0</v>
      </c>
      <c r="I32" s="1">
        <f t="shared" si="3"/>
        <v>0</v>
      </c>
      <c r="J32" s="1">
        <f t="shared" si="3"/>
        <v>0</v>
      </c>
      <c r="K32" s="1">
        <f t="shared" si="3"/>
        <v>0</v>
      </c>
      <c r="L32" s="1">
        <f t="shared" si="3"/>
        <v>0</v>
      </c>
      <c r="M32" s="1">
        <f t="shared" si="3"/>
        <v>0</v>
      </c>
      <c r="N32" s="1">
        <f t="shared" si="3"/>
        <v>0</v>
      </c>
      <c r="O32" s="1">
        <f t="shared" si="3"/>
        <v>0</v>
      </c>
      <c r="P32" s="1">
        <f t="shared" si="3"/>
        <v>0</v>
      </c>
      <c r="Q32" s="1">
        <f t="shared" si="3"/>
        <v>0</v>
      </c>
      <c r="R32" s="1">
        <f t="shared" si="3"/>
        <v>0</v>
      </c>
      <c r="S32" s="1">
        <f t="shared" si="3"/>
        <v>0</v>
      </c>
    </row>
    <row r="34" spans="3:4">
      <c r="C34" s="92" t="str">
        <f>CONCATENATE("10-year NPV(",D4*100,"%) = ")</f>
        <v xml:space="preserve">10-year NPV(0%) = </v>
      </c>
      <c r="D34" s="93">
        <f>N32</f>
        <v>0</v>
      </c>
    </row>
    <row r="36" spans="3:4">
      <c r="C36" s="13" t="s">
        <v>206</v>
      </c>
      <c r="D36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28BC3-F553-4C8F-97A6-6D66AAA6C49A}">
  <sheetPr>
    <pageSetUpPr fitToPage="1"/>
  </sheetPr>
  <dimension ref="A1:K106"/>
  <sheetViews>
    <sheetView zoomScale="90" zoomScaleNormal="90" workbookViewId="0">
      <selection activeCell="A2" sqref="A2"/>
    </sheetView>
  </sheetViews>
  <sheetFormatPr defaultColWidth="8.68359375" defaultRowHeight="12.6"/>
  <cols>
    <col min="1" max="1" width="8.68359375" style="3"/>
    <col min="2" max="2" width="50.89453125" style="3" bestFit="1" customWidth="1"/>
    <col min="3" max="3" width="8.3671875" style="3" bestFit="1" customWidth="1"/>
    <col min="4" max="4" width="8.3671875" style="4" customWidth="1"/>
    <col min="5" max="5" width="8.3671875" style="3" customWidth="1"/>
    <col min="6" max="7" width="8.68359375" style="3"/>
    <col min="8" max="8" width="8.41796875" style="6" customWidth="1"/>
    <col min="9" max="16384" width="8.68359375" style="3"/>
  </cols>
  <sheetData>
    <row r="1" spans="1:11" ht="15">
      <c r="A1" s="2" t="s">
        <v>25</v>
      </c>
      <c r="F1" s="5"/>
      <c r="G1" s="5"/>
      <c r="I1" s="5"/>
      <c r="J1" s="5"/>
    </row>
    <row r="2" spans="1:11">
      <c r="B2" s="3" t="s">
        <v>4</v>
      </c>
      <c r="C2" s="7"/>
      <c r="D2" s="4" t="s">
        <v>5</v>
      </c>
      <c r="E2" s="8"/>
      <c r="H2" s="7"/>
      <c r="I2" s="7"/>
    </row>
    <row r="3" spans="1:11">
      <c r="C3" s="7"/>
      <c r="D3" s="7"/>
      <c r="E3" s="8"/>
      <c r="H3" s="7"/>
      <c r="I3" s="7"/>
    </row>
    <row r="4" spans="1:11">
      <c r="B4" s="9" t="s">
        <v>6</v>
      </c>
      <c r="C4" s="7" t="s">
        <v>7</v>
      </c>
      <c r="D4" s="7" t="s">
        <v>8</v>
      </c>
      <c r="E4" s="8" t="s">
        <v>9</v>
      </c>
      <c r="H4" s="7"/>
      <c r="I4" s="7"/>
    </row>
    <row r="5" spans="1:11">
      <c r="B5" s="3" t="s">
        <v>26</v>
      </c>
      <c r="C5" s="10">
        <v>0.94985011382119944</v>
      </c>
      <c r="D5" s="10">
        <v>1.0169284879396443</v>
      </c>
      <c r="E5" s="22">
        <f t="shared" ref="E5:E11" si="0">ABS(D5-C5)</f>
        <v>6.7078374118444861E-2</v>
      </c>
      <c r="H5" s="10"/>
      <c r="I5" s="5"/>
      <c r="J5" s="18"/>
      <c r="K5" s="10"/>
    </row>
    <row r="6" spans="1:11">
      <c r="B6" s="3" t="s">
        <v>27</v>
      </c>
      <c r="C6" s="10">
        <v>0.86682524808308792</v>
      </c>
      <c r="D6" s="10">
        <v>1.0464737415920233</v>
      </c>
      <c r="E6" s="22">
        <f t="shared" si="0"/>
        <v>0.17964849350893541</v>
      </c>
      <c r="H6" s="10"/>
      <c r="I6" s="19"/>
      <c r="J6" s="18"/>
      <c r="K6" s="10"/>
    </row>
    <row r="7" spans="1:11">
      <c r="B7" s="3" t="s">
        <v>28</v>
      </c>
      <c r="C7" s="11">
        <v>0.84235070836386539</v>
      </c>
      <c r="D7" s="10">
        <v>1.0714812094114101</v>
      </c>
      <c r="E7" s="22">
        <f t="shared" si="0"/>
        <v>0.22913050104754473</v>
      </c>
      <c r="H7" s="11"/>
      <c r="I7" s="5"/>
      <c r="J7" s="18"/>
      <c r="K7" s="11"/>
    </row>
    <row r="8" spans="1:11">
      <c r="B8" s="3" t="s">
        <v>29</v>
      </c>
      <c r="C8" s="11">
        <v>0.85</v>
      </c>
      <c r="D8" s="10">
        <f>C8+E8</f>
        <v>1.1000000000000001</v>
      </c>
      <c r="E8" s="22">
        <v>0.25</v>
      </c>
      <c r="H8" s="11"/>
      <c r="I8" s="5"/>
      <c r="J8" s="18"/>
      <c r="K8" s="11"/>
    </row>
    <row r="9" spans="1:11">
      <c r="B9" s="3" t="s">
        <v>30</v>
      </c>
      <c r="C9" s="10">
        <v>0.76103431156127399</v>
      </c>
      <c r="D9" s="10">
        <v>1.1766471089496979</v>
      </c>
      <c r="E9" s="22">
        <f t="shared" si="0"/>
        <v>0.41561279738842394</v>
      </c>
      <c r="H9" s="10"/>
      <c r="I9" s="19"/>
      <c r="J9" s="18"/>
      <c r="K9" s="10"/>
    </row>
    <row r="10" spans="1:11">
      <c r="B10" s="3" t="s">
        <v>31</v>
      </c>
      <c r="C10" s="10">
        <v>0.72683426594789735</v>
      </c>
      <c r="D10" s="10">
        <v>1.247573767417296</v>
      </c>
      <c r="E10" s="22">
        <f t="shared" si="0"/>
        <v>0.52073950146939862</v>
      </c>
      <c r="H10" s="10"/>
      <c r="I10" s="5"/>
      <c r="J10" s="18"/>
      <c r="K10" s="10"/>
    </row>
    <row r="11" spans="1:11">
      <c r="B11" s="3" t="s">
        <v>32</v>
      </c>
      <c r="C11" s="10">
        <v>0.68176761685788467</v>
      </c>
      <c r="D11" s="10">
        <v>1.286</v>
      </c>
      <c r="E11" s="22">
        <f t="shared" si="0"/>
        <v>0.60423238314211536</v>
      </c>
      <c r="H11" s="10"/>
      <c r="I11" s="5"/>
      <c r="K11" s="10"/>
    </row>
    <row r="14" spans="1:11">
      <c r="F14" s="5"/>
      <c r="G14" s="5"/>
      <c r="I14" s="5"/>
      <c r="J14" s="5"/>
    </row>
    <row r="15" spans="1:11">
      <c r="F15" s="5"/>
      <c r="G15" s="5"/>
      <c r="I15" s="5"/>
      <c r="J15" s="5"/>
    </row>
    <row r="16" spans="1:11">
      <c r="F16" s="5"/>
      <c r="G16" s="5"/>
      <c r="I16" s="5"/>
      <c r="J16" s="5"/>
    </row>
    <row r="17" spans="6:10">
      <c r="F17" s="5"/>
      <c r="G17" s="5"/>
      <c r="I17" s="5"/>
      <c r="J17" s="5"/>
    </row>
    <row r="18" spans="6:10">
      <c r="F18" s="5"/>
      <c r="G18" s="5"/>
      <c r="I18" s="5"/>
      <c r="J18" s="5"/>
    </row>
    <row r="19" spans="6:10">
      <c r="F19" s="5"/>
      <c r="G19" s="5"/>
      <c r="I19" s="5"/>
      <c r="J19" s="5"/>
    </row>
    <row r="20" spans="6:10">
      <c r="F20" s="5"/>
      <c r="G20" s="5"/>
      <c r="I20" s="5"/>
      <c r="J20" s="5"/>
    </row>
    <row r="21" spans="6:10">
      <c r="F21" s="5"/>
      <c r="G21" s="5"/>
      <c r="I21" s="5"/>
      <c r="J21" s="5"/>
    </row>
    <row r="22" spans="6:10">
      <c r="F22" s="5"/>
      <c r="G22" s="5"/>
      <c r="I22" s="5"/>
      <c r="J22" s="5"/>
    </row>
    <row r="23" spans="6:10">
      <c r="F23" s="5"/>
      <c r="G23" s="5"/>
      <c r="I23" s="5"/>
      <c r="J23" s="5"/>
    </row>
    <row r="24" spans="6:10">
      <c r="F24" s="5"/>
      <c r="G24" s="5"/>
      <c r="I24" s="5"/>
      <c r="J24" s="5"/>
    </row>
    <row r="25" spans="6:10">
      <c r="F25" s="5"/>
      <c r="G25" s="5"/>
      <c r="I25" s="5"/>
      <c r="J25" s="5"/>
    </row>
    <row r="26" spans="6:10">
      <c r="F26" s="5"/>
      <c r="G26" s="5"/>
      <c r="I26" s="5"/>
      <c r="J26" s="5"/>
    </row>
    <row r="27" spans="6:10">
      <c r="F27" s="5"/>
      <c r="G27" s="5"/>
      <c r="I27" s="5"/>
      <c r="J27" s="5"/>
    </row>
    <row r="28" spans="6:10">
      <c r="F28" s="5"/>
      <c r="G28" s="5"/>
      <c r="I28" s="5"/>
      <c r="J28" s="5"/>
    </row>
    <row r="29" spans="6:10">
      <c r="F29" s="5"/>
      <c r="G29" s="5"/>
      <c r="I29" s="5"/>
      <c r="J29" s="5"/>
    </row>
    <row r="30" spans="6:10">
      <c r="F30" s="5"/>
      <c r="G30" s="5"/>
      <c r="I30" s="5"/>
      <c r="J30" s="5"/>
    </row>
    <row r="31" spans="6:10">
      <c r="F31" s="5"/>
      <c r="G31" s="5"/>
      <c r="I31" s="5"/>
      <c r="J31" s="5"/>
    </row>
    <row r="32" spans="6:10">
      <c r="F32" s="5"/>
      <c r="G32" s="5"/>
      <c r="I32" s="5"/>
      <c r="J32" s="5"/>
    </row>
    <row r="33" spans="6:10">
      <c r="F33" s="5"/>
      <c r="G33" s="5"/>
      <c r="I33" s="5"/>
      <c r="J33" s="5"/>
    </row>
    <row r="34" spans="6:10">
      <c r="F34" s="5"/>
      <c r="G34" s="5"/>
      <c r="I34" s="5"/>
      <c r="J34" s="5"/>
    </row>
    <row r="35" spans="6:10">
      <c r="F35" s="5"/>
      <c r="G35" s="5"/>
      <c r="I35" s="5"/>
      <c r="J35" s="5"/>
    </row>
    <row r="36" spans="6:10">
      <c r="F36" s="5"/>
      <c r="G36" s="5"/>
      <c r="I36" s="5"/>
      <c r="J36" s="5"/>
    </row>
    <row r="37" spans="6:10">
      <c r="F37" s="5"/>
      <c r="G37" s="5"/>
      <c r="I37" s="5"/>
      <c r="J37" s="5"/>
    </row>
    <row r="38" spans="6:10">
      <c r="F38" s="5"/>
      <c r="G38" s="5"/>
      <c r="I38" s="5"/>
      <c r="J38" s="5"/>
    </row>
    <row r="39" spans="6:10">
      <c r="F39" s="5"/>
      <c r="G39" s="5"/>
      <c r="I39" s="5"/>
      <c r="J39" s="5"/>
    </row>
    <row r="40" spans="6:10">
      <c r="F40" s="5"/>
      <c r="G40" s="5"/>
      <c r="I40" s="5"/>
      <c r="J40" s="5"/>
    </row>
    <row r="41" spans="6:10">
      <c r="F41" s="5"/>
      <c r="G41" s="5"/>
      <c r="I41" s="5"/>
      <c r="J41" s="5"/>
    </row>
    <row r="42" spans="6:10">
      <c r="F42" s="5"/>
      <c r="G42" s="5"/>
      <c r="I42" s="5"/>
      <c r="J42" s="5"/>
    </row>
    <row r="43" spans="6:10">
      <c r="F43" s="5"/>
      <c r="G43" s="5"/>
      <c r="I43" s="5"/>
      <c r="J43" s="5"/>
    </row>
    <row r="44" spans="6:10">
      <c r="F44" s="5"/>
      <c r="G44" s="5"/>
      <c r="I44" s="5"/>
      <c r="J44" s="5"/>
    </row>
    <row r="45" spans="6:10">
      <c r="F45" s="5"/>
      <c r="G45" s="5"/>
      <c r="I45" s="5"/>
      <c r="J45" s="5"/>
    </row>
    <row r="46" spans="6:10">
      <c r="F46" s="5"/>
      <c r="G46" s="5"/>
      <c r="I46" s="5"/>
      <c r="J46" s="5"/>
    </row>
    <row r="47" spans="6:10">
      <c r="F47" s="5"/>
      <c r="G47" s="5"/>
      <c r="I47" s="5"/>
      <c r="J47" s="5"/>
    </row>
    <row r="48" spans="6:10">
      <c r="F48" s="5"/>
      <c r="G48" s="5"/>
      <c r="I48" s="5"/>
      <c r="J48" s="5"/>
    </row>
    <row r="49" spans="6:10">
      <c r="F49" s="5"/>
      <c r="G49" s="5"/>
      <c r="I49" s="5"/>
      <c r="J49" s="5"/>
    </row>
    <row r="50" spans="6:10">
      <c r="F50" s="5"/>
      <c r="G50" s="5"/>
      <c r="I50" s="5"/>
      <c r="J50" s="5"/>
    </row>
    <row r="51" spans="6:10">
      <c r="F51" s="5"/>
      <c r="G51" s="5"/>
      <c r="I51" s="5"/>
      <c r="J51" s="5"/>
    </row>
    <row r="52" spans="6:10">
      <c r="F52" s="5"/>
      <c r="G52" s="5"/>
      <c r="I52" s="5"/>
      <c r="J52" s="5"/>
    </row>
    <row r="53" spans="6:10">
      <c r="F53" s="5"/>
      <c r="G53" s="5"/>
      <c r="I53" s="5"/>
      <c r="J53" s="5"/>
    </row>
    <row r="54" spans="6:10">
      <c r="F54" s="5"/>
      <c r="G54" s="5"/>
      <c r="I54" s="5"/>
      <c r="J54" s="5"/>
    </row>
    <row r="55" spans="6:10">
      <c r="F55" s="5"/>
      <c r="G55" s="5"/>
      <c r="I55" s="5"/>
      <c r="J55" s="5"/>
    </row>
    <row r="56" spans="6:10">
      <c r="F56" s="5"/>
      <c r="G56" s="5"/>
      <c r="I56" s="5"/>
      <c r="J56" s="5"/>
    </row>
    <row r="57" spans="6:10">
      <c r="F57" s="5"/>
      <c r="G57" s="5"/>
      <c r="I57" s="5"/>
      <c r="J57" s="5"/>
    </row>
    <row r="58" spans="6:10">
      <c r="F58" s="5"/>
      <c r="G58" s="5"/>
      <c r="I58" s="5"/>
      <c r="J58" s="5"/>
    </row>
    <row r="59" spans="6:10">
      <c r="F59" s="5"/>
      <c r="G59" s="5"/>
      <c r="I59" s="5"/>
      <c r="J59" s="5"/>
    </row>
    <row r="60" spans="6:10">
      <c r="F60" s="5"/>
      <c r="G60" s="5"/>
      <c r="I60" s="5"/>
      <c r="J60" s="5"/>
    </row>
    <row r="61" spans="6:10">
      <c r="F61" s="5"/>
      <c r="G61" s="5"/>
      <c r="I61" s="5"/>
      <c r="J61" s="5"/>
    </row>
    <row r="62" spans="6:10">
      <c r="F62" s="5"/>
      <c r="G62" s="5"/>
      <c r="I62" s="5"/>
      <c r="J62" s="5"/>
    </row>
    <row r="63" spans="6:10">
      <c r="F63" s="5"/>
      <c r="G63" s="5"/>
      <c r="I63" s="5"/>
      <c r="J63" s="5"/>
    </row>
    <row r="64" spans="6:10">
      <c r="F64" s="5"/>
      <c r="G64" s="5"/>
      <c r="I64" s="5"/>
      <c r="J64" s="5"/>
    </row>
    <row r="65" spans="6:10">
      <c r="F65" s="5"/>
      <c r="G65" s="5"/>
      <c r="I65" s="5"/>
      <c r="J65" s="5"/>
    </row>
    <row r="66" spans="6:10">
      <c r="F66" s="5"/>
      <c r="G66" s="5"/>
      <c r="I66" s="5"/>
      <c r="J66" s="5"/>
    </row>
    <row r="67" spans="6:10">
      <c r="F67" s="5"/>
      <c r="G67" s="5"/>
      <c r="I67" s="5"/>
      <c r="J67" s="5"/>
    </row>
    <row r="68" spans="6:10">
      <c r="F68" s="5"/>
      <c r="G68" s="5"/>
      <c r="I68" s="5"/>
      <c r="J68" s="5"/>
    </row>
    <row r="69" spans="6:10">
      <c r="F69" s="5"/>
      <c r="G69" s="5"/>
      <c r="I69" s="5"/>
      <c r="J69" s="5"/>
    </row>
    <row r="70" spans="6:10">
      <c r="F70" s="5"/>
      <c r="G70" s="5"/>
      <c r="I70" s="5"/>
      <c r="J70" s="5"/>
    </row>
    <row r="71" spans="6:10">
      <c r="F71" s="5"/>
      <c r="G71" s="5"/>
      <c r="I71" s="5"/>
      <c r="J71" s="5"/>
    </row>
    <row r="72" spans="6:10">
      <c r="F72" s="5"/>
      <c r="G72" s="5"/>
      <c r="I72" s="5"/>
      <c r="J72" s="5"/>
    </row>
    <row r="73" spans="6:10">
      <c r="F73" s="5"/>
      <c r="G73" s="5"/>
      <c r="I73" s="5"/>
      <c r="J73" s="5"/>
    </row>
    <row r="74" spans="6:10">
      <c r="F74" s="5"/>
      <c r="G74" s="5"/>
      <c r="I74" s="5"/>
      <c r="J74" s="5"/>
    </row>
    <row r="75" spans="6:10">
      <c r="F75" s="5"/>
      <c r="G75" s="5"/>
      <c r="I75" s="5"/>
      <c r="J75" s="5"/>
    </row>
    <row r="76" spans="6:10">
      <c r="F76" s="5"/>
      <c r="G76" s="5"/>
      <c r="I76" s="5"/>
      <c r="J76" s="5"/>
    </row>
    <row r="77" spans="6:10">
      <c r="F77" s="5"/>
      <c r="G77" s="5"/>
      <c r="I77" s="5"/>
      <c r="J77" s="5"/>
    </row>
    <row r="78" spans="6:10">
      <c r="F78" s="5"/>
      <c r="G78" s="5"/>
      <c r="I78" s="5"/>
      <c r="J78" s="5"/>
    </row>
    <row r="79" spans="6:10">
      <c r="F79" s="5"/>
      <c r="G79" s="5"/>
      <c r="I79" s="5"/>
      <c r="J79" s="5"/>
    </row>
    <row r="80" spans="6:10">
      <c r="F80" s="5"/>
      <c r="G80" s="5"/>
      <c r="I80" s="5"/>
      <c r="J80" s="5"/>
    </row>
    <row r="81" spans="6:10">
      <c r="F81" s="5"/>
      <c r="G81" s="5"/>
      <c r="I81" s="5"/>
      <c r="J81" s="5"/>
    </row>
    <row r="82" spans="6:10">
      <c r="F82" s="5"/>
      <c r="G82" s="5"/>
      <c r="I82" s="5"/>
      <c r="J82" s="5"/>
    </row>
    <row r="83" spans="6:10">
      <c r="F83" s="5"/>
      <c r="G83" s="5"/>
      <c r="I83" s="5"/>
      <c r="J83" s="5"/>
    </row>
    <row r="84" spans="6:10">
      <c r="F84" s="5"/>
      <c r="G84" s="5"/>
      <c r="I84" s="5"/>
      <c r="J84" s="5"/>
    </row>
    <row r="85" spans="6:10">
      <c r="F85" s="5"/>
      <c r="G85" s="5"/>
      <c r="I85" s="5"/>
      <c r="J85" s="5"/>
    </row>
    <row r="86" spans="6:10">
      <c r="F86" s="5"/>
      <c r="G86" s="5"/>
      <c r="I86" s="5"/>
      <c r="J86" s="5"/>
    </row>
    <row r="87" spans="6:10">
      <c r="F87" s="5"/>
      <c r="G87" s="5"/>
      <c r="I87" s="5"/>
      <c r="J87" s="5"/>
    </row>
    <row r="88" spans="6:10">
      <c r="F88" s="5"/>
      <c r="G88" s="5"/>
      <c r="I88" s="5"/>
      <c r="J88" s="5"/>
    </row>
    <row r="89" spans="6:10">
      <c r="F89" s="5"/>
      <c r="G89" s="5"/>
      <c r="I89" s="5"/>
      <c r="J89" s="5"/>
    </row>
    <row r="90" spans="6:10">
      <c r="F90" s="5"/>
      <c r="G90" s="5"/>
      <c r="I90" s="5"/>
      <c r="J90" s="5"/>
    </row>
    <row r="91" spans="6:10">
      <c r="F91" s="5"/>
      <c r="G91" s="5"/>
      <c r="I91" s="5"/>
      <c r="J91" s="5"/>
    </row>
    <row r="92" spans="6:10">
      <c r="F92" s="5"/>
      <c r="G92" s="5"/>
      <c r="I92" s="5"/>
      <c r="J92" s="5"/>
    </row>
    <row r="93" spans="6:10">
      <c r="F93" s="5"/>
      <c r="G93" s="5"/>
      <c r="I93" s="5"/>
      <c r="J93" s="5"/>
    </row>
    <row r="94" spans="6:10">
      <c r="F94" s="5"/>
      <c r="G94" s="5"/>
      <c r="I94" s="5"/>
      <c r="J94" s="5"/>
    </row>
    <row r="95" spans="6:10">
      <c r="F95" s="5"/>
      <c r="G95" s="5"/>
      <c r="I95" s="5"/>
      <c r="J95" s="5"/>
    </row>
    <row r="96" spans="6:10">
      <c r="F96" s="5"/>
      <c r="G96" s="5"/>
      <c r="I96" s="5"/>
      <c r="J96" s="5"/>
    </row>
    <row r="97" spans="6:10">
      <c r="F97" s="5"/>
      <c r="G97" s="5"/>
      <c r="I97" s="5"/>
      <c r="J97" s="5"/>
    </row>
    <row r="98" spans="6:10">
      <c r="F98" s="5"/>
      <c r="G98" s="5"/>
      <c r="I98" s="5"/>
      <c r="J98" s="5"/>
    </row>
    <row r="99" spans="6:10">
      <c r="F99" s="5"/>
      <c r="G99" s="5"/>
      <c r="I99" s="5"/>
      <c r="J99" s="5"/>
    </row>
    <row r="100" spans="6:10">
      <c r="F100" s="5"/>
      <c r="G100" s="5"/>
      <c r="I100" s="5"/>
      <c r="J100" s="5"/>
    </row>
    <row r="101" spans="6:10">
      <c r="F101" s="5"/>
      <c r="G101" s="5"/>
      <c r="I101" s="5"/>
      <c r="J101" s="5"/>
    </row>
    <row r="102" spans="6:10">
      <c r="F102" s="5"/>
      <c r="G102" s="5"/>
      <c r="I102" s="5"/>
      <c r="J102" s="5"/>
    </row>
    <row r="103" spans="6:10">
      <c r="F103" s="5"/>
      <c r="G103" s="5"/>
      <c r="I103" s="5"/>
      <c r="J103" s="5"/>
    </row>
    <row r="104" spans="6:10">
      <c r="F104" s="5"/>
      <c r="G104" s="5"/>
      <c r="I104" s="5"/>
      <c r="J104" s="5"/>
    </row>
    <row r="105" spans="6:10">
      <c r="F105" s="5"/>
      <c r="G105" s="5"/>
      <c r="I105" s="5"/>
      <c r="J105" s="5"/>
    </row>
    <row r="106" spans="6:10">
      <c r="F106" s="5"/>
      <c r="G106" s="5"/>
      <c r="I106" s="5"/>
      <c r="J106" s="5"/>
    </row>
  </sheetData>
  <pageMargins left="0.75" right="0.75" top="1" bottom="1" header="0.5" footer="0.5"/>
  <pageSetup scale="80" fitToHeight="3" orientation="landscape" r:id="rId1"/>
  <headerFooter alignWithMargins="0">
    <oddHeader>&amp;C&amp;"Times New Roman,Regular"Venture Method Pro-Forma Cap Table
(&amp;A)</oddHeader>
    <oddFooter>&amp;L&amp;"Times New Roman,Regular"Copyright © 2011 Timothy L Faley&amp;R&amp;"Times New Roman,Regular"Page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041FB-3FF6-4D41-9873-878A51CFD2F8}">
  <dimension ref="B2:J46"/>
  <sheetViews>
    <sheetView workbookViewId="0"/>
  </sheetViews>
  <sheetFormatPr defaultColWidth="9.15625" defaultRowHeight="14.1"/>
  <cols>
    <col min="1" max="16384" width="9.15625" style="1"/>
  </cols>
  <sheetData>
    <row r="2" spans="2:10">
      <c r="B2" s="1" t="s">
        <v>33</v>
      </c>
      <c r="D2" s="23"/>
    </row>
    <row r="3" spans="2:10">
      <c r="C3" s="13" t="s">
        <v>34</v>
      </c>
      <c r="D3" s="24">
        <v>1.2</v>
      </c>
    </row>
    <row r="5" spans="2:10" ht="15">
      <c r="B5" s="25" t="s">
        <v>35</v>
      </c>
      <c r="C5" s="26"/>
      <c r="D5" s="26"/>
      <c r="F5" s="26"/>
      <c r="G5" s="26"/>
      <c r="H5" s="26"/>
      <c r="I5" s="26"/>
      <c r="J5" s="26"/>
    </row>
    <row r="6" spans="2:10">
      <c r="B6" s="27" t="s">
        <v>36</v>
      </c>
      <c r="C6" s="26"/>
      <c r="D6" s="26"/>
      <c r="E6" s="26"/>
      <c r="F6" s="26"/>
      <c r="G6" s="26"/>
      <c r="H6" s="26"/>
      <c r="I6" s="26"/>
      <c r="J6" s="26"/>
    </row>
    <row r="7" spans="2:10">
      <c r="B7" s="28"/>
      <c r="C7" s="26"/>
      <c r="D7" s="26"/>
      <c r="E7" s="26"/>
      <c r="F7" s="26"/>
      <c r="G7" s="26"/>
      <c r="H7" s="26"/>
      <c r="I7" s="26"/>
      <c r="J7" s="26"/>
    </row>
    <row r="8" spans="2:10">
      <c r="B8" s="26"/>
      <c r="C8" s="26"/>
      <c r="D8" s="29" t="s">
        <v>37</v>
      </c>
      <c r="E8" s="32">
        <v>2.8500000000000001E-2</v>
      </c>
      <c r="F8" s="27" t="s">
        <v>219</v>
      </c>
      <c r="G8" s="26"/>
      <c r="H8" s="26"/>
      <c r="I8" s="26"/>
      <c r="J8" s="26"/>
    </row>
    <row r="9" spans="2:10">
      <c r="B9" s="26"/>
      <c r="C9" s="26"/>
      <c r="D9" s="29" t="s">
        <v>38</v>
      </c>
      <c r="E9" s="30">
        <v>0.06</v>
      </c>
      <c r="F9" s="27" t="s">
        <v>39</v>
      </c>
      <c r="G9" s="26"/>
      <c r="H9" s="26"/>
      <c r="I9" s="26"/>
      <c r="J9" s="26"/>
    </row>
    <row r="10" spans="2:10">
      <c r="B10" s="26"/>
      <c r="C10" s="26"/>
      <c r="D10" s="29" t="s">
        <v>40</v>
      </c>
      <c r="E10" s="30">
        <v>4.3099999999999999E-2</v>
      </c>
      <c r="F10" s="27" t="s">
        <v>220</v>
      </c>
      <c r="G10" s="26"/>
      <c r="H10" s="26"/>
      <c r="I10" s="26"/>
      <c r="J10" s="26"/>
    </row>
    <row r="11" spans="2:10">
      <c r="B11" s="26"/>
      <c r="C11" s="26"/>
      <c r="D11" s="29" t="s">
        <v>41</v>
      </c>
      <c r="E11" s="31">
        <f>E10-E8</f>
        <v>1.4599999999999998E-2</v>
      </c>
      <c r="F11" s="27" t="s">
        <v>42</v>
      </c>
      <c r="G11" s="26"/>
      <c r="H11" s="26"/>
      <c r="I11" s="26"/>
      <c r="J11" s="26"/>
    </row>
    <row r="12" spans="2:10">
      <c r="B12" s="26"/>
      <c r="C12" s="26"/>
      <c r="D12" s="29" t="s">
        <v>43</v>
      </c>
      <c r="E12" s="32">
        <v>0.38</v>
      </c>
      <c r="F12" s="27"/>
      <c r="G12" s="26"/>
      <c r="H12" s="26"/>
      <c r="I12" s="26"/>
      <c r="J12" s="26"/>
    </row>
    <row r="13" spans="2:10">
      <c r="B13" s="33"/>
      <c r="C13" s="34"/>
      <c r="D13" s="35" t="s">
        <v>44</v>
      </c>
      <c r="E13" s="34"/>
      <c r="F13" s="34"/>
      <c r="G13" s="26"/>
      <c r="H13" s="26"/>
      <c r="I13" s="26"/>
      <c r="J13" s="26"/>
    </row>
    <row r="14" spans="2:10">
      <c r="B14" s="36"/>
      <c r="C14" s="37"/>
      <c r="D14" s="38" t="s">
        <v>45</v>
      </c>
      <c r="E14" s="37"/>
      <c r="F14" s="37"/>
      <c r="G14" s="26"/>
      <c r="H14" s="26"/>
      <c r="I14" s="26"/>
      <c r="J14" s="26"/>
    </row>
    <row r="15" spans="2:10">
      <c r="B15" s="39"/>
      <c r="C15" s="40" t="s">
        <v>46</v>
      </c>
      <c r="D15" s="41" t="str">
        <f>CONCATENATE("(@ ",100*E12,"% tax)")</f>
        <v>(@ 38% tax)</v>
      </c>
      <c r="E15" s="41" t="s">
        <v>47</v>
      </c>
      <c r="F15" s="40"/>
      <c r="G15" s="26"/>
      <c r="H15" s="42" t="s">
        <v>48</v>
      </c>
      <c r="I15" s="26"/>
      <c r="J15" s="26"/>
    </row>
    <row r="16" spans="2:10">
      <c r="B16" s="36" t="s">
        <v>49</v>
      </c>
      <c r="C16" s="43">
        <f>E8+(E11*D3)</f>
        <v>4.6019999999999998E-2</v>
      </c>
      <c r="D16" s="43">
        <f>C16*(1-E12)</f>
        <v>2.8532399999999999E-2</v>
      </c>
      <c r="E16" s="44">
        <v>0.45</v>
      </c>
      <c r="F16" s="43">
        <f>E16*D16</f>
        <v>1.283958E-2</v>
      </c>
      <c r="G16" s="26"/>
      <c r="H16" s="42" t="s">
        <v>50</v>
      </c>
      <c r="I16" s="26"/>
      <c r="J16" s="26"/>
    </row>
    <row r="17" spans="2:10">
      <c r="B17" s="39" t="s">
        <v>51</v>
      </c>
      <c r="C17" s="46">
        <f>E8+(E9*D3)</f>
        <v>0.10049999999999999</v>
      </c>
      <c r="D17" s="45">
        <f>C17</f>
        <v>0.10049999999999999</v>
      </c>
      <c r="E17" s="120">
        <f>1-E16</f>
        <v>0.55000000000000004</v>
      </c>
      <c r="F17" s="46">
        <f>E17*D17</f>
        <v>5.5274999999999998E-2</v>
      </c>
      <c r="G17" s="26"/>
      <c r="I17" s="26"/>
      <c r="J17" s="26"/>
    </row>
    <row r="18" spans="2:10">
      <c r="B18" s="47"/>
      <c r="C18" s="48"/>
      <c r="D18" s="48"/>
      <c r="E18" s="49" t="s">
        <v>52</v>
      </c>
      <c r="F18" s="45">
        <f>SUM(F16:F17)</f>
        <v>6.8114579999999994E-2</v>
      </c>
      <c r="G18" s="26"/>
      <c r="H18" s="26"/>
      <c r="I18" s="26"/>
      <c r="J18" s="26"/>
    </row>
    <row r="19" spans="2:10">
      <c r="B19" s="26"/>
      <c r="C19" s="26"/>
      <c r="D19" s="26"/>
      <c r="E19" s="26"/>
      <c r="F19" s="26"/>
      <c r="G19" s="26"/>
      <c r="H19" s="26"/>
      <c r="I19" s="26"/>
      <c r="J19" s="26"/>
    </row>
    <row r="20" spans="2:10">
      <c r="B20" s="50" t="s">
        <v>218</v>
      </c>
      <c r="C20" s="26" t="s">
        <v>53</v>
      </c>
      <c r="D20" s="26"/>
      <c r="E20" s="26"/>
      <c r="F20" s="26"/>
      <c r="G20" s="26"/>
      <c r="H20" s="26"/>
      <c r="I20" s="26"/>
      <c r="J20" s="26"/>
    </row>
    <row r="21" spans="2:10">
      <c r="B21" s="26"/>
      <c r="C21" s="26" t="s">
        <v>54</v>
      </c>
      <c r="D21" s="26"/>
      <c r="E21" s="26"/>
      <c r="F21" s="26"/>
      <c r="G21" s="26"/>
      <c r="H21" s="26"/>
      <c r="I21" s="26"/>
      <c r="J21" s="26"/>
    </row>
    <row r="22" spans="2:10">
      <c r="B22" s="26"/>
      <c r="C22" s="26"/>
      <c r="D22" s="26"/>
      <c r="E22" s="26"/>
      <c r="F22" s="26"/>
      <c r="G22" s="26"/>
      <c r="H22" s="26"/>
      <c r="I22" s="26"/>
      <c r="J22" s="26"/>
    </row>
    <row r="39" spans="2:7">
      <c r="C39" s="1" t="s">
        <v>55</v>
      </c>
    </row>
    <row r="42" spans="2:7">
      <c r="B42" s="1" t="s">
        <v>56</v>
      </c>
    </row>
    <row r="43" spans="2:7">
      <c r="B43" s="1" t="s">
        <v>57</v>
      </c>
    </row>
    <row r="44" spans="2:7">
      <c r="B44" s="1" t="s">
        <v>58</v>
      </c>
    </row>
    <row r="46" spans="2:7" ht="14.4">
      <c r="G46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68D3E-A202-4FE3-8D3D-43ABD3B24255}">
  <dimension ref="A1:L115"/>
  <sheetViews>
    <sheetView workbookViewId="0">
      <selection activeCell="A18" sqref="A18"/>
    </sheetView>
  </sheetViews>
  <sheetFormatPr defaultColWidth="11.3671875" defaultRowHeight="15.6"/>
  <cols>
    <col min="1" max="1" width="34.89453125" style="54" bestFit="1" customWidth="1"/>
    <col min="2" max="2" width="16.68359375" style="54" customWidth="1"/>
    <col min="3" max="3" width="19.83984375" style="54" bestFit="1" customWidth="1"/>
    <col min="4" max="4" width="36.47265625" style="54" bestFit="1" customWidth="1"/>
    <col min="5" max="5" width="25.9453125" style="54" bestFit="1" customWidth="1"/>
    <col min="6" max="6" width="16.68359375" style="54" customWidth="1"/>
    <col min="7" max="7" width="13.68359375" style="54" customWidth="1"/>
    <col min="8" max="8" width="11.3671875" style="54" customWidth="1"/>
    <col min="9" max="9" width="21.41796875" style="54" customWidth="1"/>
    <col min="10" max="10" width="11.3671875" style="54" customWidth="1"/>
    <col min="11" max="11" width="21.41796875" style="54" bestFit="1" customWidth="1"/>
    <col min="12" max="256" width="11.3671875" style="54"/>
    <col min="257" max="257" width="34.89453125" style="54" bestFit="1" customWidth="1"/>
    <col min="258" max="258" width="16.68359375" style="54" customWidth="1"/>
    <col min="259" max="259" width="19.83984375" style="54" bestFit="1" customWidth="1"/>
    <col min="260" max="260" width="36.47265625" style="54" bestFit="1" customWidth="1"/>
    <col min="261" max="261" width="25.9453125" style="54" bestFit="1" customWidth="1"/>
    <col min="262" max="262" width="16.68359375" style="54" customWidth="1"/>
    <col min="263" max="263" width="13.68359375" style="54" customWidth="1"/>
    <col min="264" max="264" width="11.3671875" style="54"/>
    <col min="265" max="265" width="21.41796875" style="54" customWidth="1"/>
    <col min="266" max="266" width="11.3671875" style="54"/>
    <col min="267" max="267" width="21.41796875" style="54" bestFit="1" customWidth="1"/>
    <col min="268" max="512" width="11.3671875" style="54"/>
    <col min="513" max="513" width="34.89453125" style="54" bestFit="1" customWidth="1"/>
    <col min="514" max="514" width="16.68359375" style="54" customWidth="1"/>
    <col min="515" max="515" width="19.83984375" style="54" bestFit="1" customWidth="1"/>
    <col min="516" max="516" width="36.47265625" style="54" bestFit="1" customWidth="1"/>
    <col min="517" max="517" width="25.9453125" style="54" bestFit="1" customWidth="1"/>
    <col min="518" max="518" width="16.68359375" style="54" customWidth="1"/>
    <col min="519" max="519" width="13.68359375" style="54" customWidth="1"/>
    <col min="520" max="520" width="11.3671875" style="54"/>
    <col min="521" max="521" width="21.41796875" style="54" customWidth="1"/>
    <col min="522" max="522" width="11.3671875" style="54"/>
    <col min="523" max="523" width="21.41796875" style="54" bestFit="1" customWidth="1"/>
    <col min="524" max="768" width="11.3671875" style="54"/>
    <col min="769" max="769" width="34.89453125" style="54" bestFit="1" customWidth="1"/>
    <col min="770" max="770" width="16.68359375" style="54" customWidth="1"/>
    <col min="771" max="771" width="19.83984375" style="54" bestFit="1" customWidth="1"/>
    <col min="772" max="772" width="36.47265625" style="54" bestFit="1" customWidth="1"/>
    <col min="773" max="773" width="25.9453125" style="54" bestFit="1" customWidth="1"/>
    <col min="774" max="774" width="16.68359375" style="54" customWidth="1"/>
    <col min="775" max="775" width="13.68359375" style="54" customWidth="1"/>
    <col min="776" max="776" width="11.3671875" style="54"/>
    <col min="777" max="777" width="21.41796875" style="54" customWidth="1"/>
    <col min="778" max="778" width="11.3671875" style="54"/>
    <col min="779" max="779" width="21.41796875" style="54" bestFit="1" customWidth="1"/>
    <col min="780" max="1024" width="11.3671875" style="54"/>
    <col min="1025" max="1025" width="34.89453125" style="54" bestFit="1" customWidth="1"/>
    <col min="1026" max="1026" width="16.68359375" style="54" customWidth="1"/>
    <col min="1027" max="1027" width="19.83984375" style="54" bestFit="1" customWidth="1"/>
    <col min="1028" max="1028" width="36.47265625" style="54" bestFit="1" customWidth="1"/>
    <col min="1029" max="1029" width="25.9453125" style="54" bestFit="1" customWidth="1"/>
    <col min="1030" max="1030" width="16.68359375" style="54" customWidth="1"/>
    <col min="1031" max="1031" width="13.68359375" style="54" customWidth="1"/>
    <col min="1032" max="1032" width="11.3671875" style="54"/>
    <col min="1033" max="1033" width="21.41796875" style="54" customWidth="1"/>
    <col min="1034" max="1034" width="11.3671875" style="54"/>
    <col min="1035" max="1035" width="21.41796875" style="54" bestFit="1" customWidth="1"/>
    <col min="1036" max="1280" width="11.3671875" style="54"/>
    <col min="1281" max="1281" width="34.89453125" style="54" bestFit="1" customWidth="1"/>
    <col min="1282" max="1282" width="16.68359375" style="54" customWidth="1"/>
    <col min="1283" max="1283" width="19.83984375" style="54" bestFit="1" customWidth="1"/>
    <col min="1284" max="1284" width="36.47265625" style="54" bestFit="1" customWidth="1"/>
    <col min="1285" max="1285" width="25.9453125" style="54" bestFit="1" customWidth="1"/>
    <col min="1286" max="1286" width="16.68359375" style="54" customWidth="1"/>
    <col min="1287" max="1287" width="13.68359375" style="54" customWidth="1"/>
    <col min="1288" max="1288" width="11.3671875" style="54"/>
    <col min="1289" max="1289" width="21.41796875" style="54" customWidth="1"/>
    <col min="1290" max="1290" width="11.3671875" style="54"/>
    <col min="1291" max="1291" width="21.41796875" style="54" bestFit="1" customWidth="1"/>
    <col min="1292" max="1536" width="11.3671875" style="54"/>
    <col min="1537" max="1537" width="34.89453125" style="54" bestFit="1" customWidth="1"/>
    <col min="1538" max="1538" width="16.68359375" style="54" customWidth="1"/>
    <col min="1539" max="1539" width="19.83984375" style="54" bestFit="1" customWidth="1"/>
    <col min="1540" max="1540" width="36.47265625" style="54" bestFit="1" customWidth="1"/>
    <col min="1541" max="1541" width="25.9453125" style="54" bestFit="1" customWidth="1"/>
    <col min="1542" max="1542" width="16.68359375" style="54" customWidth="1"/>
    <col min="1543" max="1543" width="13.68359375" style="54" customWidth="1"/>
    <col min="1544" max="1544" width="11.3671875" style="54"/>
    <col min="1545" max="1545" width="21.41796875" style="54" customWidth="1"/>
    <col min="1546" max="1546" width="11.3671875" style="54"/>
    <col min="1547" max="1547" width="21.41796875" style="54" bestFit="1" customWidth="1"/>
    <col min="1548" max="1792" width="11.3671875" style="54"/>
    <col min="1793" max="1793" width="34.89453125" style="54" bestFit="1" customWidth="1"/>
    <col min="1794" max="1794" width="16.68359375" style="54" customWidth="1"/>
    <col min="1795" max="1795" width="19.83984375" style="54" bestFit="1" customWidth="1"/>
    <col min="1796" max="1796" width="36.47265625" style="54" bestFit="1" customWidth="1"/>
    <col min="1797" max="1797" width="25.9453125" style="54" bestFit="1" customWidth="1"/>
    <col min="1798" max="1798" width="16.68359375" style="54" customWidth="1"/>
    <col min="1799" max="1799" width="13.68359375" style="54" customWidth="1"/>
    <col min="1800" max="1800" width="11.3671875" style="54"/>
    <col min="1801" max="1801" width="21.41796875" style="54" customWidth="1"/>
    <col min="1802" max="1802" width="11.3671875" style="54"/>
    <col min="1803" max="1803" width="21.41796875" style="54" bestFit="1" customWidth="1"/>
    <col min="1804" max="2048" width="11.3671875" style="54"/>
    <col min="2049" max="2049" width="34.89453125" style="54" bestFit="1" customWidth="1"/>
    <col min="2050" max="2050" width="16.68359375" style="54" customWidth="1"/>
    <col min="2051" max="2051" width="19.83984375" style="54" bestFit="1" customWidth="1"/>
    <col min="2052" max="2052" width="36.47265625" style="54" bestFit="1" customWidth="1"/>
    <col min="2053" max="2053" width="25.9453125" style="54" bestFit="1" customWidth="1"/>
    <col min="2054" max="2054" width="16.68359375" style="54" customWidth="1"/>
    <col min="2055" max="2055" width="13.68359375" style="54" customWidth="1"/>
    <col min="2056" max="2056" width="11.3671875" style="54"/>
    <col min="2057" max="2057" width="21.41796875" style="54" customWidth="1"/>
    <col min="2058" max="2058" width="11.3671875" style="54"/>
    <col min="2059" max="2059" width="21.41796875" style="54" bestFit="1" customWidth="1"/>
    <col min="2060" max="2304" width="11.3671875" style="54"/>
    <col min="2305" max="2305" width="34.89453125" style="54" bestFit="1" customWidth="1"/>
    <col min="2306" max="2306" width="16.68359375" style="54" customWidth="1"/>
    <col min="2307" max="2307" width="19.83984375" style="54" bestFit="1" customWidth="1"/>
    <col min="2308" max="2308" width="36.47265625" style="54" bestFit="1" customWidth="1"/>
    <col min="2309" max="2309" width="25.9453125" style="54" bestFit="1" customWidth="1"/>
    <col min="2310" max="2310" width="16.68359375" style="54" customWidth="1"/>
    <col min="2311" max="2311" width="13.68359375" style="54" customWidth="1"/>
    <col min="2312" max="2312" width="11.3671875" style="54"/>
    <col min="2313" max="2313" width="21.41796875" style="54" customWidth="1"/>
    <col min="2314" max="2314" width="11.3671875" style="54"/>
    <col min="2315" max="2315" width="21.41796875" style="54" bestFit="1" customWidth="1"/>
    <col min="2316" max="2560" width="11.3671875" style="54"/>
    <col min="2561" max="2561" width="34.89453125" style="54" bestFit="1" customWidth="1"/>
    <col min="2562" max="2562" width="16.68359375" style="54" customWidth="1"/>
    <col min="2563" max="2563" width="19.83984375" style="54" bestFit="1" customWidth="1"/>
    <col min="2564" max="2564" width="36.47265625" style="54" bestFit="1" customWidth="1"/>
    <col min="2565" max="2565" width="25.9453125" style="54" bestFit="1" customWidth="1"/>
    <col min="2566" max="2566" width="16.68359375" style="54" customWidth="1"/>
    <col min="2567" max="2567" width="13.68359375" style="54" customWidth="1"/>
    <col min="2568" max="2568" width="11.3671875" style="54"/>
    <col min="2569" max="2569" width="21.41796875" style="54" customWidth="1"/>
    <col min="2570" max="2570" width="11.3671875" style="54"/>
    <col min="2571" max="2571" width="21.41796875" style="54" bestFit="1" customWidth="1"/>
    <col min="2572" max="2816" width="11.3671875" style="54"/>
    <col min="2817" max="2817" width="34.89453125" style="54" bestFit="1" customWidth="1"/>
    <col min="2818" max="2818" width="16.68359375" style="54" customWidth="1"/>
    <col min="2819" max="2819" width="19.83984375" style="54" bestFit="1" customWidth="1"/>
    <col min="2820" max="2820" width="36.47265625" style="54" bestFit="1" customWidth="1"/>
    <col min="2821" max="2821" width="25.9453125" style="54" bestFit="1" customWidth="1"/>
    <col min="2822" max="2822" width="16.68359375" style="54" customWidth="1"/>
    <col min="2823" max="2823" width="13.68359375" style="54" customWidth="1"/>
    <col min="2824" max="2824" width="11.3671875" style="54"/>
    <col min="2825" max="2825" width="21.41796875" style="54" customWidth="1"/>
    <col min="2826" max="2826" width="11.3671875" style="54"/>
    <col min="2827" max="2827" width="21.41796875" style="54" bestFit="1" customWidth="1"/>
    <col min="2828" max="3072" width="11.3671875" style="54"/>
    <col min="3073" max="3073" width="34.89453125" style="54" bestFit="1" customWidth="1"/>
    <col min="3074" max="3074" width="16.68359375" style="54" customWidth="1"/>
    <col min="3075" max="3075" width="19.83984375" style="54" bestFit="1" customWidth="1"/>
    <col min="3076" max="3076" width="36.47265625" style="54" bestFit="1" customWidth="1"/>
    <col min="3077" max="3077" width="25.9453125" style="54" bestFit="1" customWidth="1"/>
    <col min="3078" max="3078" width="16.68359375" style="54" customWidth="1"/>
    <col min="3079" max="3079" width="13.68359375" style="54" customWidth="1"/>
    <col min="3080" max="3080" width="11.3671875" style="54"/>
    <col min="3081" max="3081" width="21.41796875" style="54" customWidth="1"/>
    <col min="3082" max="3082" width="11.3671875" style="54"/>
    <col min="3083" max="3083" width="21.41796875" style="54" bestFit="1" customWidth="1"/>
    <col min="3084" max="3328" width="11.3671875" style="54"/>
    <col min="3329" max="3329" width="34.89453125" style="54" bestFit="1" customWidth="1"/>
    <col min="3330" max="3330" width="16.68359375" style="54" customWidth="1"/>
    <col min="3331" max="3331" width="19.83984375" style="54" bestFit="1" customWidth="1"/>
    <col min="3332" max="3332" width="36.47265625" style="54" bestFit="1" customWidth="1"/>
    <col min="3333" max="3333" width="25.9453125" style="54" bestFit="1" customWidth="1"/>
    <col min="3334" max="3334" width="16.68359375" style="54" customWidth="1"/>
    <col min="3335" max="3335" width="13.68359375" style="54" customWidth="1"/>
    <col min="3336" max="3336" width="11.3671875" style="54"/>
    <col min="3337" max="3337" width="21.41796875" style="54" customWidth="1"/>
    <col min="3338" max="3338" width="11.3671875" style="54"/>
    <col min="3339" max="3339" width="21.41796875" style="54" bestFit="1" customWidth="1"/>
    <col min="3340" max="3584" width="11.3671875" style="54"/>
    <col min="3585" max="3585" width="34.89453125" style="54" bestFit="1" customWidth="1"/>
    <col min="3586" max="3586" width="16.68359375" style="54" customWidth="1"/>
    <col min="3587" max="3587" width="19.83984375" style="54" bestFit="1" customWidth="1"/>
    <col min="3588" max="3588" width="36.47265625" style="54" bestFit="1" customWidth="1"/>
    <col min="3589" max="3589" width="25.9453125" style="54" bestFit="1" customWidth="1"/>
    <col min="3590" max="3590" width="16.68359375" style="54" customWidth="1"/>
    <col min="3591" max="3591" width="13.68359375" style="54" customWidth="1"/>
    <col min="3592" max="3592" width="11.3671875" style="54"/>
    <col min="3593" max="3593" width="21.41796875" style="54" customWidth="1"/>
    <col min="3594" max="3594" width="11.3671875" style="54"/>
    <col min="3595" max="3595" width="21.41796875" style="54" bestFit="1" customWidth="1"/>
    <col min="3596" max="3840" width="11.3671875" style="54"/>
    <col min="3841" max="3841" width="34.89453125" style="54" bestFit="1" customWidth="1"/>
    <col min="3842" max="3842" width="16.68359375" style="54" customWidth="1"/>
    <col min="3843" max="3843" width="19.83984375" style="54" bestFit="1" customWidth="1"/>
    <col min="3844" max="3844" width="36.47265625" style="54" bestFit="1" customWidth="1"/>
    <col min="3845" max="3845" width="25.9453125" style="54" bestFit="1" customWidth="1"/>
    <col min="3846" max="3846" width="16.68359375" style="54" customWidth="1"/>
    <col min="3847" max="3847" width="13.68359375" style="54" customWidth="1"/>
    <col min="3848" max="3848" width="11.3671875" style="54"/>
    <col min="3849" max="3849" width="21.41796875" style="54" customWidth="1"/>
    <col min="3850" max="3850" width="11.3671875" style="54"/>
    <col min="3851" max="3851" width="21.41796875" style="54" bestFit="1" customWidth="1"/>
    <col min="3852" max="4096" width="11.3671875" style="54"/>
    <col min="4097" max="4097" width="34.89453125" style="54" bestFit="1" customWidth="1"/>
    <col min="4098" max="4098" width="16.68359375" style="54" customWidth="1"/>
    <col min="4099" max="4099" width="19.83984375" style="54" bestFit="1" customWidth="1"/>
    <col min="4100" max="4100" width="36.47265625" style="54" bestFit="1" customWidth="1"/>
    <col min="4101" max="4101" width="25.9453125" style="54" bestFit="1" customWidth="1"/>
    <col min="4102" max="4102" width="16.68359375" style="54" customWidth="1"/>
    <col min="4103" max="4103" width="13.68359375" style="54" customWidth="1"/>
    <col min="4104" max="4104" width="11.3671875" style="54"/>
    <col min="4105" max="4105" width="21.41796875" style="54" customWidth="1"/>
    <col min="4106" max="4106" width="11.3671875" style="54"/>
    <col min="4107" max="4107" width="21.41796875" style="54" bestFit="1" customWidth="1"/>
    <col min="4108" max="4352" width="11.3671875" style="54"/>
    <col min="4353" max="4353" width="34.89453125" style="54" bestFit="1" customWidth="1"/>
    <col min="4354" max="4354" width="16.68359375" style="54" customWidth="1"/>
    <col min="4355" max="4355" width="19.83984375" style="54" bestFit="1" customWidth="1"/>
    <col min="4356" max="4356" width="36.47265625" style="54" bestFit="1" customWidth="1"/>
    <col min="4357" max="4357" width="25.9453125" style="54" bestFit="1" customWidth="1"/>
    <col min="4358" max="4358" width="16.68359375" style="54" customWidth="1"/>
    <col min="4359" max="4359" width="13.68359375" style="54" customWidth="1"/>
    <col min="4360" max="4360" width="11.3671875" style="54"/>
    <col min="4361" max="4361" width="21.41796875" style="54" customWidth="1"/>
    <col min="4362" max="4362" width="11.3671875" style="54"/>
    <col min="4363" max="4363" width="21.41796875" style="54" bestFit="1" customWidth="1"/>
    <col min="4364" max="4608" width="11.3671875" style="54"/>
    <col min="4609" max="4609" width="34.89453125" style="54" bestFit="1" customWidth="1"/>
    <col min="4610" max="4610" width="16.68359375" style="54" customWidth="1"/>
    <col min="4611" max="4611" width="19.83984375" style="54" bestFit="1" customWidth="1"/>
    <col min="4612" max="4612" width="36.47265625" style="54" bestFit="1" customWidth="1"/>
    <col min="4613" max="4613" width="25.9453125" style="54" bestFit="1" customWidth="1"/>
    <col min="4614" max="4614" width="16.68359375" style="54" customWidth="1"/>
    <col min="4615" max="4615" width="13.68359375" style="54" customWidth="1"/>
    <col min="4616" max="4616" width="11.3671875" style="54"/>
    <col min="4617" max="4617" width="21.41796875" style="54" customWidth="1"/>
    <col min="4618" max="4618" width="11.3671875" style="54"/>
    <col min="4619" max="4619" width="21.41796875" style="54" bestFit="1" customWidth="1"/>
    <col min="4620" max="4864" width="11.3671875" style="54"/>
    <col min="4865" max="4865" width="34.89453125" style="54" bestFit="1" customWidth="1"/>
    <col min="4866" max="4866" width="16.68359375" style="54" customWidth="1"/>
    <col min="4867" max="4867" width="19.83984375" style="54" bestFit="1" customWidth="1"/>
    <col min="4868" max="4868" width="36.47265625" style="54" bestFit="1" customWidth="1"/>
    <col min="4869" max="4869" width="25.9453125" style="54" bestFit="1" customWidth="1"/>
    <col min="4870" max="4870" width="16.68359375" style="54" customWidth="1"/>
    <col min="4871" max="4871" width="13.68359375" style="54" customWidth="1"/>
    <col min="4872" max="4872" width="11.3671875" style="54"/>
    <col min="4873" max="4873" width="21.41796875" style="54" customWidth="1"/>
    <col min="4874" max="4874" width="11.3671875" style="54"/>
    <col min="4875" max="4875" width="21.41796875" style="54" bestFit="1" customWidth="1"/>
    <col min="4876" max="5120" width="11.3671875" style="54"/>
    <col min="5121" max="5121" width="34.89453125" style="54" bestFit="1" customWidth="1"/>
    <col min="5122" max="5122" width="16.68359375" style="54" customWidth="1"/>
    <col min="5123" max="5123" width="19.83984375" style="54" bestFit="1" customWidth="1"/>
    <col min="5124" max="5124" width="36.47265625" style="54" bestFit="1" customWidth="1"/>
    <col min="5125" max="5125" width="25.9453125" style="54" bestFit="1" customWidth="1"/>
    <col min="5126" max="5126" width="16.68359375" style="54" customWidth="1"/>
    <col min="5127" max="5127" width="13.68359375" style="54" customWidth="1"/>
    <col min="5128" max="5128" width="11.3671875" style="54"/>
    <col min="5129" max="5129" width="21.41796875" style="54" customWidth="1"/>
    <col min="5130" max="5130" width="11.3671875" style="54"/>
    <col min="5131" max="5131" width="21.41796875" style="54" bestFit="1" customWidth="1"/>
    <col min="5132" max="5376" width="11.3671875" style="54"/>
    <col min="5377" max="5377" width="34.89453125" style="54" bestFit="1" customWidth="1"/>
    <col min="5378" max="5378" width="16.68359375" style="54" customWidth="1"/>
    <col min="5379" max="5379" width="19.83984375" style="54" bestFit="1" customWidth="1"/>
    <col min="5380" max="5380" width="36.47265625" style="54" bestFit="1" customWidth="1"/>
    <col min="5381" max="5381" width="25.9453125" style="54" bestFit="1" customWidth="1"/>
    <col min="5382" max="5382" width="16.68359375" style="54" customWidth="1"/>
    <col min="5383" max="5383" width="13.68359375" style="54" customWidth="1"/>
    <col min="5384" max="5384" width="11.3671875" style="54"/>
    <col min="5385" max="5385" width="21.41796875" style="54" customWidth="1"/>
    <col min="5386" max="5386" width="11.3671875" style="54"/>
    <col min="5387" max="5387" width="21.41796875" style="54" bestFit="1" customWidth="1"/>
    <col min="5388" max="5632" width="11.3671875" style="54"/>
    <col min="5633" max="5633" width="34.89453125" style="54" bestFit="1" customWidth="1"/>
    <col min="5634" max="5634" width="16.68359375" style="54" customWidth="1"/>
    <col min="5635" max="5635" width="19.83984375" style="54" bestFit="1" customWidth="1"/>
    <col min="5636" max="5636" width="36.47265625" style="54" bestFit="1" customWidth="1"/>
    <col min="5637" max="5637" width="25.9453125" style="54" bestFit="1" customWidth="1"/>
    <col min="5638" max="5638" width="16.68359375" style="54" customWidth="1"/>
    <col min="5639" max="5639" width="13.68359375" style="54" customWidth="1"/>
    <col min="5640" max="5640" width="11.3671875" style="54"/>
    <col min="5641" max="5641" width="21.41796875" style="54" customWidth="1"/>
    <col min="5642" max="5642" width="11.3671875" style="54"/>
    <col min="5643" max="5643" width="21.41796875" style="54" bestFit="1" customWidth="1"/>
    <col min="5644" max="5888" width="11.3671875" style="54"/>
    <col min="5889" max="5889" width="34.89453125" style="54" bestFit="1" customWidth="1"/>
    <col min="5890" max="5890" width="16.68359375" style="54" customWidth="1"/>
    <col min="5891" max="5891" width="19.83984375" style="54" bestFit="1" customWidth="1"/>
    <col min="5892" max="5892" width="36.47265625" style="54" bestFit="1" customWidth="1"/>
    <col min="5893" max="5893" width="25.9453125" style="54" bestFit="1" customWidth="1"/>
    <col min="5894" max="5894" width="16.68359375" style="54" customWidth="1"/>
    <col min="5895" max="5895" width="13.68359375" style="54" customWidth="1"/>
    <col min="5896" max="5896" width="11.3671875" style="54"/>
    <col min="5897" max="5897" width="21.41796875" style="54" customWidth="1"/>
    <col min="5898" max="5898" width="11.3671875" style="54"/>
    <col min="5899" max="5899" width="21.41796875" style="54" bestFit="1" customWidth="1"/>
    <col min="5900" max="6144" width="11.3671875" style="54"/>
    <col min="6145" max="6145" width="34.89453125" style="54" bestFit="1" customWidth="1"/>
    <col min="6146" max="6146" width="16.68359375" style="54" customWidth="1"/>
    <col min="6147" max="6147" width="19.83984375" style="54" bestFit="1" customWidth="1"/>
    <col min="6148" max="6148" width="36.47265625" style="54" bestFit="1" customWidth="1"/>
    <col min="6149" max="6149" width="25.9453125" style="54" bestFit="1" customWidth="1"/>
    <col min="6150" max="6150" width="16.68359375" style="54" customWidth="1"/>
    <col min="6151" max="6151" width="13.68359375" style="54" customWidth="1"/>
    <col min="6152" max="6152" width="11.3671875" style="54"/>
    <col min="6153" max="6153" width="21.41796875" style="54" customWidth="1"/>
    <col min="6154" max="6154" width="11.3671875" style="54"/>
    <col min="6155" max="6155" width="21.41796875" style="54" bestFit="1" customWidth="1"/>
    <col min="6156" max="6400" width="11.3671875" style="54"/>
    <col min="6401" max="6401" width="34.89453125" style="54" bestFit="1" customWidth="1"/>
    <col min="6402" max="6402" width="16.68359375" style="54" customWidth="1"/>
    <col min="6403" max="6403" width="19.83984375" style="54" bestFit="1" customWidth="1"/>
    <col min="6404" max="6404" width="36.47265625" style="54" bestFit="1" customWidth="1"/>
    <col min="6405" max="6405" width="25.9453125" style="54" bestFit="1" customWidth="1"/>
    <col min="6406" max="6406" width="16.68359375" style="54" customWidth="1"/>
    <col min="6407" max="6407" width="13.68359375" style="54" customWidth="1"/>
    <col min="6408" max="6408" width="11.3671875" style="54"/>
    <col min="6409" max="6409" width="21.41796875" style="54" customWidth="1"/>
    <col min="6410" max="6410" width="11.3671875" style="54"/>
    <col min="6411" max="6411" width="21.41796875" style="54" bestFit="1" customWidth="1"/>
    <col min="6412" max="6656" width="11.3671875" style="54"/>
    <col min="6657" max="6657" width="34.89453125" style="54" bestFit="1" customWidth="1"/>
    <col min="6658" max="6658" width="16.68359375" style="54" customWidth="1"/>
    <col min="6659" max="6659" width="19.83984375" style="54" bestFit="1" customWidth="1"/>
    <col min="6660" max="6660" width="36.47265625" style="54" bestFit="1" customWidth="1"/>
    <col min="6661" max="6661" width="25.9453125" style="54" bestFit="1" customWidth="1"/>
    <col min="6662" max="6662" width="16.68359375" style="54" customWidth="1"/>
    <col min="6663" max="6663" width="13.68359375" style="54" customWidth="1"/>
    <col min="6664" max="6664" width="11.3671875" style="54"/>
    <col min="6665" max="6665" width="21.41796875" style="54" customWidth="1"/>
    <col min="6666" max="6666" width="11.3671875" style="54"/>
    <col min="6667" max="6667" width="21.41796875" style="54" bestFit="1" customWidth="1"/>
    <col min="6668" max="6912" width="11.3671875" style="54"/>
    <col min="6913" max="6913" width="34.89453125" style="54" bestFit="1" customWidth="1"/>
    <col min="6914" max="6914" width="16.68359375" style="54" customWidth="1"/>
    <col min="6915" max="6915" width="19.83984375" style="54" bestFit="1" customWidth="1"/>
    <col min="6916" max="6916" width="36.47265625" style="54" bestFit="1" customWidth="1"/>
    <col min="6917" max="6917" width="25.9453125" style="54" bestFit="1" customWidth="1"/>
    <col min="6918" max="6918" width="16.68359375" style="54" customWidth="1"/>
    <col min="6919" max="6919" width="13.68359375" style="54" customWidth="1"/>
    <col min="6920" max="6920" width="11.3671875" style="54"/>
    <col min="6921" max="6921" width="21.41796875" style="54" customWidth="1"/>
    <col min="6922" max="6922" width="11.3671875" style="54"/>
    <col min="6923" max="6923" width="21.41796875" style="54" bestFit="1" customWidth="1"/>
    <col min="6924" max="7168" width="11.3671875" style="54"/>
    <col min="7169" max="7169" width="34.89453125" style="54" bestFit="1" customWidth="1"/>
    <col min="7170" max="7170" width="16.68359375" style="54" customWidth="1"/>
    <col min="7171" max="7171" width="19.83984375" style="54" bestFit="1" customWidth="1"/>
    <col min="7172" max="7172" width="36.47265625" style="54" bestFit="1" customWidth="1"/>
    <col min="7173" max="7173" width="25.9453125" style="54" bestFit="1" customWidth="1"/>
    <col min="7174" max="7174" width="16.68359375" style="54" customWidth="1"/>
    <col min="7175" max="7175" width="13.68359375" style="54" customWidth="1"/>
    <col min="7176" max="7176" width="11.3671875" style="54"/>
    <col min="7177" max="7177" width="21.41796875" style="54" customWidth="1"/>
    <col min="7178" max="7178" width="11.3671875" style="54"/>
    <col min="7179" max="7179" width="21.41796875" style="54" bestFit="1" customWidth="1"/>
    <col min="7180" max="7424" width="11.3671875" style="54"/>
    <col min="7425" max="7425" width="34.89453125" style="54" bestFit="1" customWidth="1"/>
    <col min="7426" max="7426" width="16.68359375" style="54" customWidth="1"/>
    <col min="7427" max="7427" width="19.83984375" style="54" bestFit="1" customWidth="1"/>
    <col min="7428" max="7428" width="36.47265625" style="54" bestFit="1" customWidth="1"/>
    <col min="7429" max="7429" width="25.9453125" style="54" bestFit="1" customWidth="1"/>
    <col min="7430" max="7430" width="16.68359375" style="54" customWidth="1"/>
    <col min="7431" max="7431" width="13.68359375" style="54" customWidth="1"/>
    <col min="7432" max="7432" width="11.3671875" style="54"/>
    <col min="7433" max="7433" width="21.41796875" style="54" customWidth="1"/>
    <col min="7434" max="7434" width="11.3671875" style="54"/>
    <col min="7435" max="7435" width="21.41796875" style="54" bestFit="1" customWidth="1"/>
    <col min="7436" max="7680" width="11.3671875" style="54"/>
    <col min="7681" max="7681" width="34.89453125" style="54" bestFit="1" customWidth="1"/>
    <col min="7682" max="7682" width="16.68359375" style="54" customWidth="1"/>
    <col min="7683" max="7683" width="19.83984375" style="54" bestFit="1" customWidth="1"/>
    <col min="7684" max="7684" width="36.47265625" style="54" bestFit="1" customWidth="1"/>
    <col min="7685" max="7685" width="25.9453125" style="54" bestFit="1" customWidth="1"/>
    <col min="7686" max="7686" width="16.68359375" style="54" customWidth="1"/>
    <col min="7687" max="7687" width="13.68359375" style="54" customWidth="1"/>
    <col min="7688" max="7688" width="11.3671875" style="54"/>
    <col min="7689" max="7689" width="21.41796875" style="54" customWidth="1"/>
    <col min="7690" max="7690" width="11.3671875" style="54"/>
    <col min="7691" max="7691" width="21.41796875" style="54" bestFit="1" customWidth="1"/>
    <col min="7692" max="7936" width="11.3671875" style="54"/>
    <col min="7937" max="7937" width="34.89453125" style="54" bestFit="1" customWidth="1"/>
    <col min="7938" max="7938" width="16.68359375" style="54" customWidth="1"/>
    <col min="7939" max="7939" width="19.83984375" style="54" bestFit="1" customWidth="1"/>
    <col min="7940" max="7940" width="36.47265625" style="54" bestFit="1" customWidth="1"/>
    <col min="7941" max="7941" width="25.9453125" style="54" bestFit="1" customWidth="1"/>
    <col min="7942" max="7942" width="16.68359375" style="54" customWidth="1"/>
    <col min="7943" max="7943" width="13.68359375" style="54" customWidth="1"/>
    <col min="7944" max="7944" width="11.3671875" style="54"/>
    <col min="7945" max="7945" width="21.41796875" style="54" customWidth="1"/>
    <col min="7946" max="7946" width="11.3671875" style="54"/>
    <col min="7947" max="7947" width="21.41796875" style="54" bestFit="1" customWidth="1"/>
    <col min="7948" max="8192" width="11.3671875" style="54"/>
    <col min="8193" max="8193" width="34.89453125" style="54" bestFit="1" customWidth="1"/>
    <col min="8194" max="8194" width="16.68359375" style="54" customWidth="1"/>
    <col min="8195" max="8195" width="19.83984375" style="54" bestFit="1" customWidth="1"/>
    <col min="8196" max="8196" width="36.47265625" style="54" bestFit="1" customWidth="1"/>
    <col min="8197" max="8197" width="25.9453125" style="54" bestFit="1" customWidth="1"/>
    <col min="8198" max="8198" width="16.68359375" style="54" customWidth="1"/>
    <col min="8199" max="8199" width="13.68359375" style="54" customWidth="1"/>
    <col min="8200" max="8200" width="11.3671875" style="54"/>
    <col min="8201" max="8201" width="21.41796875" style="54" customWidth="1"/>
    <col min="8202" max="8202" width="11.3671875" style="54"/>
    <col min="8203" max="8203" width="21.41796875" style="54" bestFit="1" customWidth="1"/>
    <col min="8204" max="8448" width="11.3671875" style="54"/>
    <col min="8449" max="8449" width="34.89453125" style="54" bestFit="1" customWidth="1"/>
    <col min="8450" max="8450" width="16.68359375" style="54" customWidth="1"/>
    <col min="8451" max="8451" width="19.83984375" style="54" bestFit="1" customWidth="1"/>
    <col min="8452" max="8452" width="36.47265625" style="54" bestFit="1" customWidth="1"/>
    <col min="8453" max="8453" width="25.9453125" style="54" bestFit="1" customWidth="1"/>
    <col min="8454" max="8454" width="16.68359375" style="54" customWidth="1"/>
    <col min="8455" max="8455" width="13.68359375" style="54" customWidth="1"/>
    <col min="8456" max="8456" width="11.3671875" style="54"/>
    <col min="8457" max="8457" width="21.41796875" style="54" customWidth="1"/>
    <col min="8458" max="8458" width="11.3671875" style="54"/>
    <col min="8459" max="8459" width="21.41796875" style="54" bestFit="1" customWidth="1"/>
    <col min="8460" max="8704" width="11.3671875" style="54"/>
    <col min="8705" max="8705" width="34.89453125" style="54" bestFit="1" customWidth="1"/>
    <col min="8706" max="8706" width="16.68359375" style="54" customWidth="1"/>
    <col min="8707" max="8707" width="19.83984375" style="54" bestFit="1" customWidth="1"/>
    <col min="8708" max="8708" width="36.47265625" style="54" bestFit="1" customWidth="1"/>
    <col min="8709" max="8709" width="25.9453125" style="54" bestFit="1" customWidth="1"/>
    <col min="8710" max="8710" width="16.68359375" style="54" customWidth="1"/>
    <col min="8711" max="8711" width="13.68359375" style="54" customWidth="1"/>
    <col min="8712" max="8712" width="11.3671875" style="54"/>
    <col min="8713" max="8713" width="21.41796875" style="54" customWidth="1"/>
    <col min="8714" max="8714" width="11.3671875" style="54"/>
    <col min="8715" max="8715" width="21.41796875" style="54" bestFit="1" customWidth="1"/>
    <col min="8716" max="8960" width="11.3671875" style="54"/>
    <col min="8961" max="8961" width="34.89453125" style="54" bestFit="1" customWidth="1"/>
    <col min="8962" max="8962" width="16.68359375" style="54" customWidth="1"/>
    <col min="8963" max="8963" width="19.83984375" style="54" bestFit="1" customWidth="1"/>
    <col min="8964" max="8964" width="36.47265625" style="54" bestFit="1" customWidth="1"/>
    <col min="8965" max="8965" width="25.9453125" style="54" bestFit="1" customWidth="1"/>
    <col min="8966" max="8966" width="16.68359375" style="54" customWidth="1"/>
    <col min="8967" max="8967" width="13.68359375" style="54" customWidth="1"/>
    <col min="8968" max="8968" width="11.3671875" style="54"/>
    <col min="8969" max="8969" width="21.41796875" style="54" customWidth="1"/>
    <col min="8970" max="8970" width="11.3671875" style="54"/>
    <col min="8971" max="8971" width="21.41796875" style="54" bestFit="1" customWidth="1"/>
    <col min="8972" max="9216" width="11.3671875" style="54"/>
    <col min="9217" max="9217" width="34.89453125" style="54" bestFit="1" customWidth="1"/>
    <col min="9218" max="9218" width="16.68359375" style="54" customWidth="1"/>
    <col min="9219" max="9219" width="19.83984375" style="54" bestFit="1" customWidth="1"/>
    <col min="9220" max="9220" width="36.47265625" style="54" bestFit="1" customWidth="1"/>
    <col min="9221" max="9221" width="25.9453125" style="54" bestFit="1" customWidth="1"/>
    <col min="9222" max="9222" width="16.68359375" style="54" customWidth="1"/>
    <col min="9223" max="9223" width="13.68359375" style="54" customWidth="1"/>
    <col min="9224" max="9224" width="11.3671875" style="54"/>
    <col min="9225" max="9225" width="21.41796875" style="54" customWidth="1"/>
    <col min="9226" max="9226" width="11.3671875" style="54"/>
    <col min="9227" max="9227" width="21.41796875" style="54" bestFit="1" customWidth="1"/>
    <col min="9228" max="9472" width="11.3671875" style="54"/>
    <col min="9473" max="9473" width="34.89453125" style="54" bestFit="1" customWidth="1"/>
    <col min="9474" max="9474" width="16.68359375" style="54" customWidth="1"/>
    <col min="9475" max="9475" width="19.83984375" style="54" bestFit="1" customWidth="1"/>
    <col min="9476" max="9476" width="36.47265625" style="54" bestFit="1" customWidth="1"/>
    <col min="9477" max="9477" width="25.9453125" style="54" bestFit="1" customWidth="1"/>
    <col min="9478" max="9478" width="16.68359375" style="54" customWidth="1"/>
    <col min="9479" max="9479" width="13.68359375" style="54" customWidth="1"/>
    <col min="9480" max="9480" width="11.3671875" style="54"/>
    <col min="9481" max="9481" width="21.41796875" style="54" customWidth="1"/>
    <col min="9482" max="9482" width="11.3671875" style="54"/>
    <col min="9483" max="9483" width="21.41796875" style="54" bestFit="1" customWidth="1"/>
    <col min="9484" max="9728" width="11.3671875" style="54"/>
    <col min="9729" max="9729" width="34.89453125" style="54" bestFit="1" customWidth="1"/>
    <col min="9730" max="9730" width="16.68359375" style="54" customWidth="1"/>
    <col min="9731" max="9731" width="19.83984375" style="54" bestFit="1" customWidth="1"/>
    <col min="9732" max="9732" width="36.47265625" style="54" bestFit="1" customWidth="1"/>
    <col min="9733" max="9733" width="25.9453125" style="54" bestFit="1" customWidth="1"/>
    <col min="9734" max="9734" width="16.68359375" style="54" customWidth="1"/>
    <col min="9735" max="9735" width="13.68359375" style="54" customWidth="1"/>
    <col min="9736" max="9736" width="11.3671875" style="54"/>
    <col min="9737" max="9737" width="21.41796875" style="54" customWidth="1"/>
    <col min="9738" max="9738" width="11.3671875" style="54"/>
    <col min="9739" max="9739" width="21.41796875" style="54" bestFit="1" customWidth="1"/>
    <col min="9740" max="9984" width="11.3671875" style="54"/>
    <col min="9985" max="9985" width="34.89453125" style="54" bestFit="1" customWidth="1"/>
    <col min="9986" max="9986" width="16.68359375" style="54" customWidth="1"/>
    <col min="9987" max="9987" width="19.83984375" style="54" bestFit="1" customWidth="1"/>
    <col min="9988" max="9988" width="36.47265625" style="54" bestFit="1" customWidth="1"/>
    <col min="9989" max="9989" width="25.9453125" style="54" bestFit="1" customWidth="1"/>
    <col min="9990" max="9990" width="16.68359375" style="54" customWidth="1"/>
    <col min="9991" max="9991" width="13.68359375" style="54" customWidth="1"/>
    <col min="9992" max="9992" width="11.3671875" style="54"/>
    <col min="9993" max="9993" width="21.41796875" style="54" customWidth="1"/>
    <col min="9994" max="9994" width="11.3671875" style="54"/>
    <col min="9995" max="9995" width="21.41796875" style="54" bestFit="1" customWidth="1"/>
    <col min="9996" max="10240" width="11.3671875" style="54"/>
    <col min="10241" max="10241" width="34.89453125" style="54" bestFit="1" customWidth="1"/>
    <col min="10242" max="10242" width="16.68359375" style="54" customWidth="1"/>
    <col min="10243" max="10243" width="19.83984375" style="54" bestFit="1" customWidth="1"/>
    <col min="10244" max="10244" width="36.47265625" style="54" bestFit="1" customWidth="1"/>
    <col min="10245" max="10245" width="25.9453125" style="54" bestFit="1" customWidth="1"/>
    <col min="10246" max="10246" width="16.68359375" style="54" customWidth="1"/>
    <col min="10247" max="10247" width="13.68359375" style="54" customWidth="1"/>
    <col min="10248" max="10248" width="11.3671875" style="54"/>
    <col min="10249" max="10249" width="21.41796875" style="54" customWidth="1"/>
    <col min="10250" max="10250" width="11.3671875" style="54"/>
    <col min="10251" max="10251" width="21.41796875" style="54" bestFit="1" customWidth="1"/>
    <col min="10252" max="10496" width="11.3671875" style="54"/>
    <col min="10497" max="10497" width="34.89453125" style="54" bestFit="1" customWidth="1"/>
    <col min="10498" max="10498" width="16.68359375" style="54" customWidth="1"/>
    <col min="10499" max="10499" width="19.83984375" style="54" bestFit="1" customWidth="1"/>
    <col min="10500" max="10500" width="36.47265625" style="54" bestFit="1" customWidth="1"/>
    <col min="10501" max="10501" width="25.9453125" style="54" bestFit="1" customWidth="1"/>
    <col min="10502" max="10502" width="16.68359375" style="54" customWidth="1"/>
    <col min="10503" max="10503" width="13.68359375" style="54" customWidth="1"/>
    <col min="10504" max="10504" width="11.3671875" style="54"/>
    <col min="10505" max="10505" width="21.41796875" style="54" customWidth="1"/>
    <col min="10506" max="10506" width="11.3671875" style="54"/>
    <col min="10507" max="10507" width="21.41796875" style="54" bestFit="1" customWidth="1"/>
    <col min="10508" max="10752" width="11.3671875" style="54"/>
    <col min="10753" max="10753" width="34.89453125" style="54" bestFit="1" customWidth="1"/>
    <col min="10754" max="10754" width="16.68359375" style="54" customWidth="1"/>
    <col min="10755" max="10755" width="19.83984375" style="54" bestFit="1" customWidth="1"/>
    <col min="10756" max="10756" width="36.47265625" style="54" bestFit="1" customWidth="1"/>
    <col min="10757" max="10757" width="25.9453125" style="54" bestFit="1" customWidth="1"/>
    <col min="10758" max="10758" width="16.68359375" style="54" customWidth="1"/>
    <col min="10759" max="10759" width="13.68359375" style="54" customWidth="1"/>
    <col min="10760" max="10760" width="11.3671875" style="54"/>
    <col min="10761" max="10761" width="21.41796875" style="54" customWidth="1"/>
    <col min="10762" max="10762" width="11.3671875" style="54"/>
    <col min="10763" max="10763" width="21.41796875" style="54" bestFit="1" customWidth="1"/>
    <col min="10764" max="11008" width="11.3671875" style="54"/>
    <col min="11009" max="11009" width="34.89453125" style="54" bestFit="1" customWidth="1"/>
    <col min="11010" max="11010" width="16.68359375" style="54" customWidth="1"/>
    <col min="11011" max="11011" width="19.83984375" style="54" bestFit="1" customWidth="1"/>
    <col min="11012" max="11012" width="36.47265625" style="54" bestFit="1" customWidth="1"/>
    <col min="11013" max="11013" width="25.9453125" style="54" bestFit="1" customWidth="1"/>
    <col min="11014" max="11014" width="16.68359375" style="54" customWidth="1"/>
    <col min="11015" max="11015" width="13.68359375" style="54" customWidth="1"/>
    <col min="11016" max="11016" width="11.3671875" style="54"/>
    <col min="11017" max="11017" width="21.41796875" style="54" customWidth="1"/>
    <col min="11018" max="11018" width="11.3671875" style="54"/>
    <col min="11019" max="11019" width="21.41796875" style="54" bestFit="1" customWidth="1"/>
    <col min="11020" max="11264" width="11.3671875" style="54"/>
    <col min="11265" max="11265" width="34.89453125" style="54" bestFit="1" customWidth="1"/>
    <col min="11266" max="11266" width="16.68359375" style="54" customWidth="1"/>
    <col min="11267" max="11267" width="19.83984375" style="54" bestFit="1" customWidth="1"/>
    <col min="11268" max="11268" width="36.47265625" style="54" bestFit="1" customWidth="1"/>
    <col min="11269" max="11269" width="25.9453125" style="54" bestFit="1" customWidth="1"/>
    <col min="11270" max="11270" width="16.68359375" style="54" customWidth="1"/>
    <col min="11271" max="11271" width="13.68359375" style="54" customWidth="1"/>
    <col min="11272" max="11272" width="11.3671875" style="54"/>
    <col min="11273" max="11273" width="21.41796875" style="54" customWidth="1"/>
    <col min="11274" max="11274" width="11.3671875" style="54"/>
    <col min="11275" max="11275" width="21.41796875" style="54" bestFit="1" customWidth="1"/>
    <col min="11276" max="11520" width="11.3671875" style="54"/>
    <col min="11521" max="11521" width="34.89453125" style="54" bestFit="1" customWidth="1"/>
    <col min="11522" max="11522" width="16.68359375" style="54" customWidth="1"/>
    <col min="11523" max="11523" width="19.83984375" style="54" bestFit="1" customWidth="1"/>
    <col min="11524" max="11524" width="36.47265625" style="54" bestFit="1" customWidth="1"/>
    <col min="11525" max="11525" width="25.9453125" style="54" bestFit="1" customWidth="1"/>
    <col min="11526" max="11526" width="16.68359375" style="54" customWidth="1"/>
    <col min="11527" max="11527" width="13.68359375" style="54" customWidth="1"/>
    <col min="11528" max="11528" width="11.3671875" style="54"/>
    <col min="11529" max="11529" width="21.41796875" style="54" customWidth="1"/>
    <col min="11530" max="11530" width="11.3671875" style="54"/>
    <col min="11531" max="11531" width="21.41796875" style="54" bestFit="1" customWidth="1"/>
    <col min="11532" max="11776" width="11.3671875" style="54"/>
    <col min="11777" max="11777" width="34.89453125" style="54" bestFit="1" customWidth="1"/>
    <col min="11778" max="11778" width="16.68359375" style="54" customWidth="1"/>
    <col min="11779" max="11779" width="19.83984375" style="54" bestFit="1" customWidth="1"/>
    <col min="11780" max="11780" width="36.47265625" style="54" bestFit="1" customWidth="1"/>
    <col min="11781" max="11781" width="25.9453125" style="54" bestFit="1" customWidth="1"/>
    <col min="11782" max="11782" width="16.68359375" style="54" customWidth="1"/>
    <col min="11783" max="11783" width="13.68359375" style="54" customWidth="1"/>
    <col min="11784" max="11784" width="11.3671875" style="54"/>
    <col min="11785" max="11785" width="21.41796875" style="54" customWidth="1"/>
    <col min="11786" max="11786" width="11.3671875" style="54"/>
    <col min="11787" max="11787" width="21.41796875" style="54" bestFit="1" customWidth="1"/>
    <col min="11788" max="12032" width="11.3671875" style="54"/>
    <col min="12033" max="12033" width="34.89453125" style="54" bestFit="1" customWidth="1"/>
    <col min="12034" max="12034" width="16.68359375" style="54" customWidth="1"/>
    <col min="12035" max="12035" width="19.83984375" style="54" bestFit="1" customWidth="1"/>
    <col min="12036" max="12036" width="36.47265625" style="54" bestFit="1" customWidth="1"/>
    <col min="12037" max="12037" width="25.9453125" style="54" bestFit="1" customWidth="1"/>
    <col min="12038" max="12038" width="16.68359375" style="54" customWidth="1"/>
    <col min="12039" max="12039" width="13.68359375" style="54" customWidth="1"/>
    <col min="12040" max="12040" width="11.3671875" style="54"/>
    <col min="12041" max="12041" width="21.41796875" style="54" customWidth="1"/>
    <col min="12042" max="12042" width="11.3671875" style="54"/>
    <col min="12043" max="12043" width="21.41796875" style="54" bestFit="1" customWidth="1"/>
    <col min="12044" max="12288" width="11.3671875" style="54"/>
    <col min="12289" max="12289" width="34.89453125" style="54" bestFit="1" customWidth="1"/>
    <col min="12290" max="12290" width="16.68359375" style="54" customWidth="1"/>
    <col min="12291" max="12291" width="19.83984375" style="54" bestFit="1" customWidth="1"/>
    <col min="12292" max="12292" width="36.47265625" style="54" bestFit="1" customWidth="1"/>
    <col min="12293" max="12293" width="25.9453125" style="54" bestFit="1" customWidth="1"/>
    <col min="12294" max="12294" width="16.68359375" style="54" customWidth="1"/>
    <col min="12295" max="12295" width="13.68359375" style="54" customWidth="1"/>
    <col min="12296" max="12296" width="11.3671875" style="54"/>
    <col min="12297" max="12297" width="21.41796875" style="54" customWidth="1"/>
    <col min="12298" max="12298" width="11.3671875" style="54"/>
    <col min="12299" max="12299" width="21.41796875" style="54" bestFit="1" customWidth="1"/>
    <col min="12300" max="12544" width="11.3671875" style="54"/>
    <col min="12545" max="12545" width="34.89453125" style="54" bestFit="1" customWidth="1"/>
    <col min="12546" max="12546" width="16.68359375" style="54" customWidth="1"/>
    <col min="12547" max="12547" width="19.83984375" style="54" bestFit="1" customWidth="1"/>
    <col min="12548" max="12548" width="36.47265625" style="54" bestFit="1" customWidth="1"/>
    <col min="12549" max="12549" width="25.9453125" style="54" bestFit="1" customWidth="1"/>
    <col min="12550" max="12550" width="16.68359375" style="54" customWidth="1"/>
    <col min="12551" max="12551" width="13.68359375" style="54" customWidth="1"/>
    <col min="12552" max="12552" width="11.3671875" style="54"/>
    <col min="12553" max="12553" width="21.41796875" style="54" customWidth="1"/>
    <col min="12554" max="12554" width="11.3671875" style="54"/>
    <col min="12555" max="12555" width="21.41796875" style="54" bestFit="1" customWidth="1"/>
    <col min="12556" max="12800" width="11.3671875" style="54"/>
    <col min="12801" max="12801" width="34.89453125" style="54" bestFit="1" customWidth="1"/>
    <col min="12802" max="12802" width="16.68359375" style="54" customWidth="1"/>
    <col min="12803" max="12803" width="19.83984375" style="54" bestFit="1" customWidth="1"/>
    <col min="12804" max="12804" width="36.47265625" style="54" bestFit="1" customWidth="1"/>
    <col min="12805" max="12805" width="25.9453125" style="54" bestFit="1" customWidth="1"/>
    <col min="12806" max="12806" width="16.68359375" style="54" customWidth="1"/>
    <col min="12807" max="12807" width="13.68359375" style="54" customWidth="1"/>
    <col min="12808" max="12808" width="11.3671875" style="54"/>
    <col min="12809" max="12809" width="21.41796875" style="54" customWidth="1"/>
    <col min="12810" max="12810" width="11.3671875" style="54"/>
    <col min="12811" max="12811" width="21.41796875" style="54" bestFit="1" customWidth="1"/>
    <col min="12812" max="13056" width="11.3671875" style="54"/>
    <col min="13057" max="13057" width="34.89453125" style="54" bestFit="1" customWidth="1"/>
    <col min="13058" max="13058" width="16.68359375" style="54" customWidth="1"/>
    <col min="13059" max="13059" width="19.83984375" style="54" bestFit="1" customWidth="1"/>
    <col min="13060" max="13060" width="36.47265625" style="54" bestFit="1" customWidth="1"/>
    <col min="13061" max="13061" width="25.9453125" style="54" bestFit="1" customWidth="1"/>
    <col min="13062" max="13062" width="16.68359375" style="54" customWidth="1"/>
    <col min="13063" max="13063" width="13.68359375" style="54" customWidth="1"/>
    <col min="13064" max="13064" width="11.3671875" style="54"/>
    <col min="13065" max="13065" width="21.41796875" style="54" customWidth="1"/>
    <col min="13066" max="13066" width="11.3671875" style="54"/>
    <col min="13067" max="13067" width="21.41796875" style="54" bestFit="1" customWidth="1"/>
    <col min="13068" max="13312" width="11.3671875" style="54"/>
    <col min="13313" max="13313" width="34.89453125" style="54" bestFit="1" customWidth="1"/>
    <col min="13314" max="13314" width="16.68359375" style="54" customWidth="1"/>
    <col min="13315" max="13315" width="19.83984375" style="54" bestFit="1" customWidth="1"/>
    <col min="13316" max="13316" width="36.47265625" style="54" bestFit="1" customWidth="1"/>
    <col min="13317" max="13317" width="25.9453125" style="54" bestFit="1" customWidth="1"/>
    <col min="13318" max="13318" width="16.68359375" style="54" customWidth="1"/>
    <col min="13319" max="13319" width="13.68359375" style="54" customWidth="1"/>
    <col min="13320" max="13320" width="11.3671875" style="54"/>
    <col min="13321" max="13321" width="21.41796875" style="54" customWidth="1"/>
    <col min="13322" max="13322" width="11.3671875" style="54"/>
    <col min="13323" max="13323" width="21.41796875" style="54" bestFit="1" customWidth="1"/>
    <col min="13324" max="13568" width="11.3671875" style="54"/>
    <col min="13569" max="13569" width="34.89453125" style="54" bestFit="1" customWidth="1"/>
    <col min="13570" max="13570" width="16.68359375" style="54" customWidth="1"/>
    <col min="13571" max="13571" width="19.83984375" style="54" bestFit="1" customWidth="1"/>
    <col min="13572" max="13572" width="36.47265625" style="54" bestFit="1" customWidth="1"/>
    <col min="13573" max="13573" width="25.9453125" style="54" bestFit="1" customWidth="1"/>
    <col min="13574" max="13574" width="16.68359375" style="54" customWidth="1"/>
    <col min="13575" max="13575" width="13.68359375" style="54" customWidth="1"/>
    <col min="13576" max="13576" width="11.3671875" style="54"/>
    <col min="13577" max="13577" width="21.41796875" style="54" customWidth="1"/>
    <col min="13578" max="13578" width="11.3671875" style="54"/>
    <col min="13579" max="13579" width="21.41796875" style="54" bestFit="1" customWidth="1"/>
    <col min="13580" max="13824" width="11.3671875" style="54"/>
    <col min="13825" max="13825" width="34.89453125" style="54" bestFit="1" customWidth="1"/>
    <col min="13826" max="13826" width="16.68359375" style="54" customWidth="1"/>
    <col min="13827" max="13827" width="19.83984375" style="54" bestFit="1" customWidth="1"/>
    <col min="13828" max="13828" width="36.47265625" style="54" bestFit="1" customWidth="1"/>
    <col min="13829" max="13829" width="25.9453125" style="54" bestFit="1" customWidth="1"/>
    <col min="13830" max="13830" width="16.68359375" style="54" customWidth="1"/>
    <col min="13831" max="13831" width="13.68359375" style="54" customWidth="1"/>
    <col min="13832" max="13832" width="11.3671875" style="54"/>
    <col min="13833" max="13833" width="21.41796875" style="54" customWidth="1"/>
    <col min="13834" max="13834" width="11.3671875" style="54"/>
    <col min="13835" max="13835" width="21.41796875" style="54" bestFit="1" customWidth="1"/>
    <col min="13836" max="14080" width="11.3671875" style="54"/>
    <col min="14081" max="14081" width="34.89453125" style="54" bestFit="1" customWidth="1"/>
    <col min="14082" max="14082" width="16.68359375" style="54" customWidth="1"/>
    <col min="14083" max="14083" width="19.83984375" style="54" bestFit="1" customWidth="1"/>
    <col min="14084" max="14084" width="36.47265625" style="54" bestFit="1" customWidth="1"/>
    <col min="14085" max="14085" width="25.9453125" style="54" bestFit="1" customWidth="1"/>
    <col min="14086" max="14086" width="16.68359375" style="54" customWidth="1"/>
    <col min="14087" max="14087" width="13.68359375" style="54" customWidth="1"/>
    <col min="14088" max="14088" width="11.3671875" style="54"/>
    <col min="14089" max="14089" width="21.41796875" style="54" customWidth="1"/>
    <col min="14090" max="14090" width="11.3671875" style="54"/>
    <col min="14091" max="14091" width="21.41796875" style="54" bestFit="1" customWidth="1"/>
    <col min="14092" max="14336" width="11.3671875" style="54"/>
    <col min="14337" max="14337" width="34.89453125" style="54" bestFit="1" customWidth="1"/>
    <col min="14338" max="14338" width="16.68359375" style="54" customWidth="1"/>
    <col min="14339" max="14339" width="19.83984375" style="54" bestFit="1" customWidth="1"/>
    <col min="14340" max="14340" width="36.47265625" style="54" bestFit="1" customWidth="1"/>
    <col min="14341" max="14341" width="25.9453125" style="54" bestFit="1" customWidth="1"/>
    <col min="14342" max="14342" width="16.68359375" style="54" customWidth="1"/>
    <col min="14343" max="14343" width="13.68359375" style="54" customWidth="1"/>
    <col min="14344" max="14344" width="11.3671875" style="54"/>
    <col min="14345" max="14345" width="21.41796875" style="54" customWidth="1"/>
    <col min="14346" max="14346" width="11.3671875" style="54"/>
    <col min="14347" max="14347" width="21.41796875" style="54" bestFit="1" customWidth="1"/>
    <col min="14348" max="14592" width="11.3671875" style="54"/>
    <col min="14593" max="14593" width="34.89453125" style="54" bestFit="1" customWidth="1"/>
    <col min="14594" max="14594" width="16.68359375" style="54" customWidth="1"/>
    <col min="14595" max="14595" width="19.83984375" style="54" bestFit="1" customWidth="1"/>
    <col min="14596" max="14596" width="36.47265625" style="54" bestFit="1" customWidth="1"/>
    <col min="14597" max="14597" width="25.9453125" style="54" bestFit="1" customWidth="1"/>
    <col min="14598" max="14598" width="16.68359375" style="54" customWidth="1"/>
    <col min="14599" max="14599" width="13.68359375" style="54" customWidth="1"/>
    <col min="14600" max="14600" width="11.3671875" style="54"/>
    <col min="14601" max="14601" width="21.41796875" style="54" customWidth="1"/>
    <col min="14602" max="14602" width="11.3671875" style="54"/>
    <col min="14603" max="14603" width="21.41796875" style="54" bestFit="1" customWidth="1"/>
    <col min="14604" max="14848" width="11.3671875" style="54"/>
    <col min="14849" max="14849" width="34.89453125" style="54" bestFit="1" customWidth="1"/>
    <col min="14850" max="14850" width="16.68359375" style="54" customWidth="1"/>
    <col min="14851" max="14851" width="19.83984375" style="54" bestFit="1" customWidth="1"/>
    <col min="14852" max="14852" width="36.47265625" style="54" bestFit="1" customWidth="1"/>
    <col min="14853" max="14853" width="25.9453125" style="54" bestFit="1" customWidth="1"/>
    <col min="14854" max="14854" width="16.68359375" style="54" customWidth="1"/>
    <col min="14855" max="14855" width="13.68359375" style="54" customWidth="1"/>
    <col min="14856" max="14856" width="11.3671875" style="54"/>
    <col min="14857" max="14857" width="21.41796875" style="54" customWidth="1"/>
    <col min="14858" max="14858" width="11.3671875" style="54"/>
    <col min="14859" max="14859" width="21.41796875" style="54" bestFit="1" customWidth="1"/>
    <col min="14860" max="15104" width="11.3671875" style="54"/>
    <col min="15105" max="15105" width="34.89453125" style="54" bestFit="1" customWidth="1"/>
    <col min="15106" max="15106" width="16.68359375" style="54" customWidth="1"/>
    <col min="15107" max="15107" width="19.83984375" style="54" bestFit="1" customWidth="1"/>
    <col min="15108" max="15108" width="36.47265625" style="54" bestFit="1" customWidth="1"/>
    <col min="15109" max="15109" width="25.9453125" style="54" bestFit="1" customWidth="1"/>
    <col min="15110" max="15110" width="16.68359375" style="54" customWidth="1"/>
    <col min="15111" max="15111" width="13.68359375" style="54" customWidth="1"/>
    <col min="15112" max="15112" width="11.3671875" style="54"/>
    <col min="15113" max="15113" width="21.41796875" style="54" customWidth="1"/>
    <col min="15114" max="15114" width="11.3671875" style="54"/>
    <col min="15115" max="15115" width="21.41796875" style="54" bestFit="1" customWidth="1"/>
    <col min="15116" max="15360" width="11.3671875" style="54"/>
    <col min="15361" max="15361" width="34.89453125" style="54" bestFit="1" customWidth="1"/>
    <col min="15362" max="15362" width="16.68359375" style="54" customWidth="1"/>
    <col min="15363" max="15363" width="19.83984375" style="54" bestFit="1" customWidth="1"/>
    <col min="15364" max="15364" width="36.47265625" style="54" bestFit="1" customWidth="1"/>
    <col min="15365" max="15365" width="25.9453125" style="54" bestFit="1" customWidth="1"/>
    <col min="15366" max="15366" width="16.68359375" style="54" customWidth="1"/>
    <col min="15367" max="15367" width="13.68359375" style="54" customWidth="1"/>
    <col min="15368" max="15368" width="11.3671875" style="54"/>
    <col min="15369" max="15369" width="21.41796875" style="54" customWidth="1"/>
    <col min="15370" max="15370" width="11.3671875" style="54"/>
    <col min="15371" max="15371" width="21.41796875" style="54" bestFit="1" customWidth="1"/>
    <col min="15372" max="15616" width="11.3671875" style="54"/>
    <col min="15617" max="15617" width="34.89453125" style="54" bestFit="1" customWidth="1"/>
    <col min="15618" max="15618" width="16.68359375" style="54" customWidth="1"/>
    <col min="15619" max="15619" width="19.83984375" style="54" bestFit="1" customWidth="1"/>
    <col min="15620" max="15620" width="36.47265625" style="54" bestFit="1" customWidth="1"/>
    <col min="15621" max="15621" width="25.9453125" style="54" bestFit="1" customWidth="1"/>
    <col min="15622" max="15622" width="16.68359375" style="54" customWidth="1"/>
    <col min="15623" max="15623" width="13.68359375" style="54" customWidth="1"/>
    <col min="15624" max="15624" width="11.3671875" style="54"/>
    <col min="15625" max="15625" width="21.41796875" style="54" customWidth="1"/>
    <col min="15626" max="15626" width="11.3671875" style="54"/>
    <col min="15627" max="15627" width="21.41796875" style="54" bestFit="1" customWidth="1"/>
    <col min="15628" max="15872" width="11.3671875" style="54"/>
    <col min="15873" max="15873" width="34.89453125" style="54" bestFit="1" customWidth="1"/>
    <col min="15874" max="15874" width="16.68359375" style="54" customWidth="1"/>
    <col min="15875" max="15875" width="19.83984375" style="54" bestFit="1" customWidth="1"/>
    <col min="15876" max="15876" width="36.47265625" style="54" bestFit="1" customWidth="1"/>
    <col min="15877" max="15877" width="25.9453125" style="54" bestFit="1" customWidth="1"/>
    <col min="15878" max="15878" width="16.68359375" style="54" customWidth="1"/>
    <col min="15879" max="15879" width="13.68359375" style="54" customWidth="1"/>
    <col min="15880" max="15880" width="11.3671875" style="54"/>
    <col min="15881" max="15881" width="21.41796875" style="54" customWidth="1"/>
    <col min="15882" max="15882" width="11.3671875" style="54"/>
    <col min="15883" max="15883" width="21.41796875" style="54" bestFit="1" customWidth="1"/>
    <col min="15884" max="16128" width="11.3671875" style="54"/>
    <col min="16129" max="16129" width="34.89453125" style="54" bestFit="1" customWidth="1"/>
    <col min="16130" max="16130" width="16.68359375" style="54" customWidth="1"/>
    <col min="16131" max="16131" width="19.83984375" style="54" bestFit="1" customWidth="1"/>
    <col min="16132" max="16132" width="36.47265625" style="54" bestFit="1" customWidth="1"/>
    <col min="16133" max="16133" width="25.9453125" style="54" bestFit="1" customWidth="1"/>
    <col min="16134" max="16134" width="16.68359375" style="54" customWidth="1"/>
    <col min="16135" max="16135" width="13.68359375" style="54" customWidth="1"/>
    <col min="16136" max="16136" width="11.3671875" style="54"/>
    <col min="16137" max="16137" width="21.41796875" style="54" customWidth="1"/>
    <col min="16138" max="16138" width="11.3671875" style="54"/>
    <col min="16139" max="16139" width="21.41796875" style="54" bestFit="1" customWidth="1"/>
    <col min="16140" max="16384" width="11.3671875" style="54"/>
  </cols>
  <sheetData>
    <row r="1" spans="1:11">
      <c r="A1" s="53" t="s">
        <v>69</v>
      </c>
      <c r="B1" s="137">
        <v>44566</v>
      </c>
      <c r="C1" s="138"/>
      <c r="D1" s="138"/>
      <c r="E1" s="138"/>
      <c r="F1" s="138"/>
      <c r="G1" s="139"/>
    </row>
    <row r="2" spans="1:11">
      <c r="A2" s="55" t="s">
        <v>70</v>
      </c>
      <c r="B2" s="140" t="s">
        <v>71</v>
      </c>
      <c r="C2" s="141"/>
      <c r="D2" s="141"/>
      <c r="E2" s="141"/>
      <c r="F2" s="141"/>
      <c r="G2" s="142"/>
      <c r="I2" s="143" t="s">
        <v>72</v>
      </c>
    </row>
    <row r="3" spans="1:11">
      <c r="A3" s="55" t="s">
        <v>73</v>
      </c>
      <c r="B3" s="144" t="s">
        <v>74</v>
      </c>
      <c r="C3" s="145"/>
      <c r="D3" s="145"/>
      <c r="E3" s="146"/>
      <c r="F3" s="144" t="s">
        <v>75</v>
      </c>
      <c r="G3" s="147"/>
      <c r="H3" s="56"/>
      <c r="I3" s="143"/>
      <c r="J3" s="56"/>
    </row>
    <row r="4" spans="1:11">
      <c r="A4" s="55" t="s">
        <v>76</v>
      </c>
      <c r="B4" s="148" t="s">
        <v>77</v>
      </c>
      <c r="C4" s="149"/>
      <c r="D4" s="149"/>
      <c r="E4" s="149"/>
      <c r="F4" s="149"/>
      <c r="G4" s="150"/>
      <c r="I4" s="143"/>
    </row>
    <row r="5" spans="1:11">
      <c r="A5" s="55" t="s">
        <v>78</v>
      </c>
      <c r="B5" s="151" t="s">
        <v>79</v>
      </c>
      <c r="C5" s="152"/>
      <c r="D5" s="152"/>
      <c r="E5" s="152"/>
      <c r="F5" s="152"/>
      <c r="G5" s="153"/>
      <c r="I5" s="143"/>
    </row>
    <row r="6" spans="1:11" s="57" customFormat="1">
      <c r="A6" s="55" t="s">
        <v>80</v>
      </c>
      <c r="B6" s="140" t="s">
        <v>81</v>
      </c>
      <c r="C6" s="141"/>
      <c r="D6" s="141"/>
      <c r="E6" s="141"/>
      <c r="F6" s="141"/>
      <c r="G6" s="142"/>
      <c r="I6" s="143"/>
    </row>
    <row r="7" spans="1:11" ht="15.9" thickBot="1">
      <c r="A7" s="58" t="s">
        <v>82</v>
      </c>
      <c r="B7" s="134" t="s">
        <v>83</v>
      </c>
      <c r="C7" s="135"/>
      <c r="D7" s="135"/>
      <c r="E7" s="135"/>
      <c r="F7" s="135"/>
      <c r="G7" s="136"/>
    </row>
    <row r="8" spans="1:11" hidden="1">
      <c r="A8" s="59" t="s">
        <v>84</v>
      </c>
      <c r="B8" s="59"/>
      <c r="C8" s="59"/>
      <c r="D8" s="59"/>
      <c r="E8" s="60"/>
      <c r="F8" s="60"/>
      <c r="G8" s="60" t="s">
        <v>85</v>
      </c>
      <c r="H8" s="60"/>
      <c r="I8" s="60"/>
      <c r="J8" s="60"/>
      <c r="K8" s="60"/>
    </row>
    <row r="9" spans="1:11" hidden="1">
      <c r="A9" s="60" t="s">
        <v>86</v>
      </c>
      <c r="B9" s="60"/>
      <c r="C9" s="60"/>
      <c r="D9" s="61">
        <v>1.5100000000000001E-2</v>
      </c>
      <c r="E9" s="60"/>
      <c r="F9" s="60"/>
      <c r="G9" s="62" t="s">
        <v>87</v>
      </c>
      <c r="H9" s="62"/>
      <c r="I9" s="62" t="s">
        <v>88</v>
      </c>
      <c r="J9" s="60"/>
      <c r="K9" s="60"/>
    </row>
    <row r="10" spans="1:11" hidden="1">
      <c r="A10" s="60" t="s">
        <v>89</v>
      </c>
      <c r="B10" s="60"/>
      <c r="C10" s="60"/>
      <c r="D10" s="63">
        <v>4.24E-2</v>
      </c>
      <c r="E10" s="60"/>
      <c r="F10" s="60"/>
      <c r="G10" s="64">
        <v>0</v>
      </c>
      <c r="H10" s="65">
        <v>0.25</v>
      </c>
      <c r="I10" s="66">
        <v>9.9000000000000008E-3</v>
      </c>
      <c r="J10" s="60"/>
      <c r="K10" s="60"/>
    </row>
    <row r="11" spans="1:11" hidden="1">
      <c r="A11" s="60" t="s">
        <v>90</v>
      </c>
      <c r="B11" s="60"/>
      <c r="C11" s="60"/>
      <c r="D11" s="67">
        <v>0</v>
      </c>
      <c r="E11" s="60"/>
      <c r="F11" s="60"/>
      <c r="G11" s="64">
        <v>0.25</v>
      </c>
      <c r="H11" s="65">
        <v>0.4</v>
      </c>
      <c r="I11" s="66">
        <v>1.6500000000000001E-2</v>
      </c>
      <c r="J11" s="60"/>
      <c r="K11" s="60"/>
    </row>
    <row r="12" spans="1:11" hidden="1">
      <c r="A12" s="60" t="s">
        <v>91</v>
      </c>
      <c r="B12" s="60"/>
      <c r="C12" s="60"/>
      <c r="D12" s="60"/>
      <c r="E12" s="60"/>
      <c r="F12" s="68" t="s">
        <v>92</v>
      </c>
      <c r="G12" s="64">
        <v>0.4</v>
      </c>
      <c r="H12" s="65">
        <v>0.65</v>
      </c>
      <c r="I12" s="66">
        <v>2.0680000000000004E-2</v>
      </c>
      <c r="J12" s="60"/>
      <c r="K12" s="60"/>
    </row>
    <row r="13" spans="1:11" hidden="1">
      <c r="A13" s="60" t="s">
        <v>93</v>
      </c>
      <c r="B13" s="60"/>
      <c r="C13" s="60"/>
      <c r="D13" s="60"/>
      <c r="E13" s="60"/>
      <c r="F13" s="69">
        <v>0.27</v>
      </c>
      <c r="G13" s="64">
        <v>0.65</v>
      </c>
      <c r="H13" s="65">
        <v>0.75</v>
      </c>
      <c r="I13" s="66">
        <v>3.1625E-2</v>
      </c>
      <c r="J13" s="60"/>
      <c r="K13" s="60"/>
    </row>
    <row r="14" spans="1:11" hidden="1">
      <c r="A14" s="60"/>
      <c r="B14" s="60"/>
      <c r="C14" s="60"/>
      <c r="D14" s="60"/>
      <c r="E14" s="60"/>
      <c r="F14" s="60"/>
      <c r="G14" s="64">
        <v>0.75</v>
      </c>
      <c r="H14" s="65">
        <v>0.9</v>
      </c>
      <c r="I14" s="66">
        <v>6.6125000000000003E-2</v>
      </c>
      <c r="J14" s="60"/>
      <c r="K14" s="60"/>
    </row>
    <row r="15" spans="1:11" hidden="1">
      <c r="A15" s="70" t="s">
        <v>94</v>
      </c>
      <c r="B15" s="60"/>
      <c r="C15" s="60"/>
      <c r="D15" s="60"/>
      <c r="E15" s="60"/>
      <c r="F15" s="60"/>
      <c r="G15" s="64">
        <v>0.9</v>
      </c>
      <c r="H15" s="65">
        <v>1</v>
      </c>
      <c r="I15" s="66">
        <v>8.3374999999999991E-2</v>
      </c>
      <c r="J15" s="60"/>
      <c r="K15" s="60"/>
    </row>
    <row r="16" spans="1:11" hidden="1">
      <c r="A16" s="60" t="s">
        <v>95</v>
      </c>
      <c r="B16" s="60"/>
      <c r="C16" s="67">
        <v>1.4999999999999999E-2</v>
      </c>
      <c r="D16" s="60"/>
      <c r="E16" s="60"/>
      <c r="F16" s="60"/>
      <c r="G16" s="64">
        <v>1</v>
      </c>
      <c r="H16" s="65">
        <v>10</v>
      </c>
      <c r="I16" s="66">
        <v>0.10062499999999999</v>
      </c>
      <c r="J16" s="60"/>
      <c r="K16" s="60"/>
    </row>
    <row r="17" spans="1:12" hidden="1">
      <c r="A17" s="60" t="s">
        <v>96</v>
      </c>
      <c r="B17" s="60"/>
      <c r="C17" s="67">
        <v>1.4999999999999999E-2</v>
      </c>
      <c r="D17" s="60"/>
      <c r="E17" s="60"/>
      <c r="F17" s="60"/>
      <c r="G17" s="60"/>
      <c r="H17" s="60"/>
      <c r="I17" s="60"/>
      <c r="J17" s="60"/>
      <c r="K17" s="60"/>
    </row>
    <row r="18" spans="1:12">
      <c r="A18" s="60"/>
      <c r="B18" s="60"/>
      <c r="C18" s="60"/>
      <c r="D18" s="60"/>
      <c r="E18" s="60"/>
      <c r="F18" s="60"/>
      <c r="G18" s="60"/>
      <c r="H18" s="60"/>
      <c r="I18" s="60"/>
      <c r="J18" s="60"/>
      <c r="K18" s="60"/>
    </row>
    <row r="19" spans="1:12">
      <c r="A19" s="71" t="s">
        <v>97</v>
      </c>
      <c r="B19" s="71" t="s">
        <v>98</v>
      </c>
      <c r="C19" s="71" t="s">
        <v>99</v>
      </c>
      <c r="D19" s="72" t="s">
        <v>100</v>
      </c>
      <c r="E19" s="73" t="s">
        <v>101</v>
      </c>
      <c r="F19" s="73" t="s">
        <v>102</v>
      </c>
      <c r="G19" s="72" t="s">
        <v>103</v>
      </c>
      <c r="H19" s="71" t="s">
        <v>104</v>
      </c>
      <c r="I19" s="72" t="s">
        <v>105</v>
      </c>
      <c r="J19" s="72" t="s">
        <v>106</v>
      </c>
      <c r="K19" s="74" t="s">
        <v>107</v>
      </c>
      <c r="L19" s="75" t="s">
        <v>108</v>
      </c>
    </row>
    <row r="20" spans="1:12">
      <c r="A20" s="76" t="s">
        <v>109</v>
      </c>
      <c r="B20" s="76">
        <v>49</v>
      </c>
      <c r="C20" s="77">
        <v>1.3404215229301832</v>
      </c>
      <c r="D20" s="78">
        <f>$D$9+C20*$D$10</f>
        <v>7.1933872572239765E-2</v>
      </c>
      <c r="E20" s="78">
        <v>0.66020924915256485</v>
      </c>
      <c r="F20" s="78">
        <v>0.56696815123612743</v>
      </c>
      <c r="G20" s="79">
        <f>$D$9+VLOOKUP(F20,$G$10:$I$16,3)+$D$11</f>
        <v>3.5780000000000006E-2</v>
      </c>
      <c r="H20" s="80">
        <v>5.7585603321218058E-2</v>
      </c>
      <c r="I20" s="78">
        <f>IF($F$12="Yes",G20*(1-$F$13),G20*(1-H20))</f>
        <v>2.6119400000000004E-2</v>
      </c>
      <c r="J20" s="79">
        <f>1-E20</f>
        <v>0.33979075084743515</v>
      </c>
      <c r="K20" s="81">
        <f>D20*(1-J20)+I20*J20</f>
        <v>5.6366538537239191E-2</v>
      </c>
      <c r="L20" s="78">
        <f t="shared" ref="L20:L83" si="0">(1+K20)*((1+$C$16)/(1+$C$17))-1</f>
        <v>5.6366538537239164E-2</v>
      </c>
    </row>
    <row r="21" spans="1:12">
      <c r="A21" s="76" t="s">
        <v>110</v>
      </c>
      <c r="B21" s="76">
        <v>73</v>
      </c>
      <c r="C21" s="77">
        <v>1.2810483683110934</v>
      </c>
      <c r="D21" s="78">
        <f t="shared" ref="D21:D84" si="1">$D$9+C21*$D$10</f>
        <v>6.9416450816390363E-2</v>
      </c>
      <c r="E21" s="78">
        <v>0.77249050072819725</v>
      </c>
      <c r="F21" s="78">
        <v>0.38232192400001008</v>
      </c>
      <c r="G21" s="79">
        <f t="shared" ref="G21:G84" si="2">$D$9+VLOOKUP(F21,$G$10:$I$16,3)+$D$11</f>
        <v>3.1600000000000003E-2</v>
      </c>
      <c r="H21" s="80">
        <v>6.8297980518455995E-2</v>
      </c>
      <c r="I21" s="78">
        <f t="shared" ref="I21:I84" si="3">IF($F$12="Yes",G21*(1-$F$13),G21*(1-H21))</f>
        <v>2.3068000000000002E-2</v>
      </c>
      <c r="J21" s="79">
        <f t="shared" ref="J21:J84" si="4">1-E21</f>
        <v>0.22750949927180275</v>
      </c>
      <c r="K21" s="81">
        <f t="shared" ref="K21:K84" si="5">D21*(1-J21)+I21*J21</f>
        <v>5.8871737979129618E-2</v>
      </c>
      <c r="L21" s="78">
        <f t="shared" si="0"/>
        <v>5.8871737979129701E-2</v>
      </c>
    </row>
    <row r="22" spans="1:12">
      <c r="A22" s="76" t="s">
        <v>111</v>
      </c>
      <c r="B22" s="76">
        <v>21</v>
      </c>
      <c r="C22" s="77">
        <v>1.5829076060557847</v>
      </c>
      <c r="D22" s="78">
        <f t="shared" si="1"/>
        <v>8.2215282496765268E-2</v>
      </c>
      <c r="E22" s="78">
        <v>0.3947400786372236</v>
      </c>
      <c r="F22" s="78">
        <v>0.40193094320645517</v>
      </c>
      <c r="G22" s="79">
        <f t="shared" si="2"/>
        <v>3.5780000000000006E-2</v>
      </c>
      <c r="H22" s="80">
        <v>5.324955670929693E-2</v>
      </c>
      <c r="I22" s="78">
        <f t="shared" si="3"/>
        <v>2.6119400000000004E-2</v>
      </c>
      <c r="J22" s="79">
        <f t="shared" si="4"/>
        <v>0.6052599213627764</v>
      </c>
      <c r="K22" s="81">
        <f t="shared" si="5"/>
        <v>4.8262693067997582E-2</v>
      </c>
      <c r="L22" s="78">
        <f t="shared" si="0"/>
        <v>4.8262693067997686E-2</v>
      </c>
    </row>
    <row r="23" spans="1:12">
      <c r="A23" s="76" t="s">
        <v>112</v>
      </c>
      <c r="B23" s="76">
        <v>39</v>
      </c>
      <c r="C23" s="77">
        <v>1.2265825725549797</v>
      </c>
      <c r="D23" s="78">
        <f t="shared" si="1"/>
        <v>6.7107101076331138E-2</v>
      </c>
      <c r="E23" s="78">
        <v>0.75990015517678611</v>
      </c>
      <c r="F23" s="78">
        <v>0.43487047041029003</v>
      </c>
      <c r="G23" s="79">
        <f t="shared" si="2"/>
        <v>3.5780000000000006E-2</v>
      </c>
      <c r="H23" s="80">
        <v>0.12060383686062494</v>
      </c>
      <c r="I23" s="78">
        <f t="shared" si="3"/>
        <v>2.6119400000000004E-2</v>
      </c>
      <c r="J23" s="79">
        <f t="shared" si="4"/>
        <v>0.24009984482321389</v>
      </c>
      <c r="K23" s="81">
        <f t="shared" si="5"/>
        <v>5.7265960408243756E-2</v>
      </c>
      <c r="L23" s="78">
        <f t="shared" si="0"/>
        <v>5.7265960408243721E-2</v>
      </c>
    </row>
    <row r="24" spans="1:12">
      <c r="A24" s="76" t="s">
        <v>113</v>
      </c>
      <c r="B24" s="76">
        <v>26</v>
      </c>
      <c r="C24" s="77">
        <v>1.129306321775833</v>
      </c>
      <c r="D24" s="78">
        <f t="shared" si="1"/>
        <v>6.2982588043295318E-2</v>
      </c>
      <c r="E24" s="78">
        <v>0.83429503628662116</v>
      </c>
      <c r="F24" s="78">
        <v>0.54776880027636599</v>
      </c>
      <c r="G24" s="79">
        <f t="shared" si="2"/>
        <v>3.5780000000000006E-2</v>
      </c>
      <c r="H24" s="80">
        <v>3.8835796190078826E-2</v>
      </c>
      <c r="I24" s="78">
        <f t="shared" si="3"/>
        <v>2.6119400000000004E-2</v>
      </c>
      <c r="J24" s="79">
        <f t="shared" si="4"/>
        <v>0.16570496371337884</v>
      </c>
      <c r="K24" s="81">
        <f t="shared" si="5"/>
        <v>5.6874174806221603E-2</v>
      </c>
      <c r="L24" s="78">
        <f t="shared" si="0"/>
        <v>5.6874174806221589E-2</v>
      </c>
    </row>
    <row r="25" spans="1:12">
      <c r="A25" s="76" t="s">
        <v>114</v>
      </c>
      <c r="B25" s="76">
        <v>38</v>
      </c>
      <c r="C25" s="77">
        <v>1.3980688847319374</v>
      </c>
      <c r="D25" s="78">
        <f t="shared" si="1"/>
        <v>7.4378120712634138E-2</v>
      </c>
      <c r="E25" s="78">
        <v>0.75943626809502129</v>
      </c>
      <c r="F25" s="78">
        <v>0.37140419964616195</v>
      </c>
      <c r="G25" s="79">
        <f t="shared" si="2"/>
        <v>3.1600000000000003E-2</v>
      </c>
      <c r="H25" s="80">
        <v>0.13617137324474218</v>
      </c>
      <c r="I25" s="78">
        <f t="shared" si="3"/>
        <v>2.3068000000000002E-2</v>
      </c>
      <c r="J25" s="79">
        <f t="shared" si="4"/>
        <v>0.24056373190497871</v>
      </c>
      <c r="K25" s="81">
        <f t="shared" si="5"/>
        <v>6.2034766589507927E-2</v>
      </c>
      <c r="L25" s="78">
        <f t="shared" si="0"/>
        <v>6.2034766589508017E-2</v>
      </c>
    </row>
    <row r="26" spans="1:12">
      <c r="A26" s="76" t="s">
        <v>115</v>
      </c>
      <c r="B26" s="76">
        <v>7</v>
      </c>
      <c r="C26" s="77">
        <v>1.1172141898724213</v>
      </c>
      <c r="D26" s="78">
        <f t="shared" si="1"/>
        <v>6.2469881650590663E-2</v>
      </c>
      <c r="E26" s="78">
        <v>0.36983077058445057</v>
      </c>
      <c r="F26" s="78">
        <v>0.22230976220075235</v>
      </c>
      <c r="G26" s="79">
        <f t="shared" si="2"/>
        <v>2.5000000000000001E-2</v>
      </c>
      <c r="H26" s="80">
        <v>0.14689496714795297</v>
      </c>
      <c r="I26" s="78">
        <f t="shared" si="3"/>
        <v>1.8249999999999999E-2</v>
      </c>
      <c r="J26" s="79">
        <f t="shared" si="4"/>
        <v>0.63016922941554943</v>
      </c>
      <c r="K26" s="81">
        <f t="shared" si="5"/>
        <v>3.4603872905991151E-2</v>
      </c>
      <c r="L26" s="78">
        <f t="shared" si="0"/>
        <v>3.4603872905991206E-2</v>
      </c>
    </row>
    <row r="27" spans="1:12">
      <c r="A27" s="76" t="s">
        <v>116</v>
      </c>
      <c r="B27" s="76">
        <v>563</v>
      </c>
      <c r="C27" s="77">
        <v>0.69798811946873363</v>
      </c>
      <c r="D27" s="78">
        <f t="shared" si="1"/>
        <v>4.4694696265474308E-2</v>
      </c>
      <c r="E27" s="78">
        <v>0.74308347795845764</v>
      </c>
      <c r="F27" s="78">
        <v>0.1967849116738157</v>
      </c>
      <c r="G27" s="79">
        <f t="shared" si="2"/>
        <v>2.5000000000000001E-2</v>
      </c>
      <c r="H27" s="80">
        <v>0.1929396681545785</v>
      </c>
      <c r="I27" s="78">
        <f t="shared" si="3"/>
        <v>1.8249999999999999E-2</v>
      </c>
      <c r="J27" s="79">
        <f t="shared" si="4"/>
        <v>0.25691652204154236</v>
      </c>
      <c r="K27" s="81">
        <f t="shared" si="5"/>
        <v>3.790061687450369E-2</v>
      </c>
      <c r="L27" s="78">
        <f t="shared" si="0"/>
        <v>3.7900616874503745E-2</v>
      </c>
    </row>
    <row r="28" spans="1:12">
      <c r="A28" s="76" t="s">
        <v>117</v>
      </c>
      <c r="B28" s="76">
        <v>21</v>
      </c>
      <c r="C28" s="77">
        <v>0.81936464501292028</v>
      </c>
      <c r="D28" s="78">
        <f t="shared" si="1"/>
        <v>4.9841060948547823E-2</v>
      </c>
      <c r="E28" s="78">
        <v>0.82361430077945008</v>
      </c>
      <c r="F28" s="78">
        <v>0.37865995834360078</v>
      </c>
      <c r="G28" s="79">
        <f t="shared" si="2"/>
        <v>3.1600000000000003E-2</v>
      </c>
      <c r="H28" s="80">
        <v>7.9347854204435547E-2</v>
      </c>
      <c r="I28" s="78">
        <f t="shared" si="3"/>
        <v>2.3068000000000002E-2</v>
      </c>
      <c r="J28" s="79">
        <f t="shared" si="4"/>
        <v>0.17638569922054992</v>
      </c>
      <c r="K28" s="81">
        <f t="shared" si="5"/>
        <v>4.511867587286382E-2</v>
      </c>
      <c r="L28" s="78">
        <f t="shared" si="0"/>
        <v>4.5118675872863889E-2</v>
      </c>
    </row>
    <row r="29" spans="1:12">
      <c r="A29" s="76" t="s">
        <v>118</v>
      </c>
      <c r="B29" s="76">
        <v>32</v>
      </c>
      <c r="C29" s="77">
        <v>1.215686535925268</v>
      </c>
      <c r="D29" s="78">
        <f t="shared" si="1"/>
        <v>6.6645109123231364E-2</v>
      </c>
      <c r="E29" s="78">
        <v>0.85728655651973684</v>
      </c>
      <c r="F29" s="78">
        <v>0.4826538885579737</v>
      </c>
      <c r="G29" s="79">
        <f t="shared" si="2"/>
        <v>3.5780000000000006E-2</v>
      </c>
      <c r="H29" s="80">
        <v>4.5274691784989836E-2</v>
      </c>
      <c r="I29" s="78">
        <f t="shared" si="3"/>
        <v>2.6119400000000004E-2</v>
      </c>
      <c r="J29" s="79">
        <f t="shared" si="4"/>
        <v>0.14271344348026316</v>
      </c>
      <c r="K29" s="81">
        <f t="shared" si="5"/>
        <v>6.0861545624775498E-2</v>
      </c>
      <c r="L29" s="78">
        <f t="shared" si="0"/>
        <v>6.0861545624775415E-2</v>
      </c>
    </row>
    <row r="30" spans="1:12">
      <c r="A30" s="76" t="s">
        <v>119</v>
      </c>
      <c r="B30" s="76">
        <v>28</v>
      </c>
      <c r="C30" s="77">
        <v>1.3520952869467548</v>
      </c>
      <c r="D30" s="78">
        <f t="shared" si="1"/>
        <v>7.2428840166542399E-2</v>
      </c>
      <c r="E30" s="78">
        <v>0.46120724073760466</v>
      </c>
      <c r="F30" s="78">
        <v>0.48769409629655158</v>
      </c>
      <c r="G30" s="79">
        <f t="shared" si="2"/>
        <v>3.5780000000000006E-2</v>
      </c>
      <c r="H30" s="80">
        <v>0.11544603978801631</v>
      </c>
      <c r="I30" s="78">
        <f t="shared" si="3"/>
        <v>2.6119400000000004E-2</v>
      </c>
      <c r="J30" s="79">
        <f t="shared" si="4"/>
        <v>0.53879275926239534</v>
      </c>
      <c r="K30" s="81">
        <f t="shared" si="5"/>
        <v>4.7477649119314222E-2</v>
      </c>
      <c r="L30" s="78">
        <f t="shared" si="0"/>
        <v>4.7477649119314291E-2</v>
      </c>
    </row>
    <row r="31" spans="1:12">
      <c r="A31" s="76" t="s">
        <v>120</v>
      </c>
      <c r="B31" s="76">
        <v>31</v>
      </c>
      <c r="C31" s="77">
        <v>1.1749812758826836</v>
      </c>
      <c r="D31" s="78">
        <f t="shared" si="1"/>
        <v>6.4919206097425783E-2</v>
      </c>
      <c r="E31" s="78">
        <v>0.35400317770326195</v>
      </c>
      <c r="F31" s="78">
        <v>0.31739360898024499</v>
      </c>
      <c r="G31" s="79">
        <f t="shared" si="2"/>
        <v>3.1600000000000003E-2</v>
      </c>
      <c r="H31" s="80">
        <v>0.14760296237609177</v>
      </c>
      <c r="I31" s="78">
        <f t="shared" si="3"/>
        <v>2.3068000000000002E-2</v>
      </c>
      <c r="J31" s="79">
        <f t="shared" si="4"/>
        <v>0.64599682229673805</v>
      </c>
      <c r="K31" s="81">
        <f t="shared" si="5"/>
        <v>3.7883459949202863E-2</v>
      </c>
      <c r="L31" s="78">
        <f t="shared" si="0"/>
        <v>3.7883459949202836E-2</v>
      </c>
    </row>
    <row r="32" spans="1:12">
      <c r="A32" s="76" t="s">
        <v>121</v>
      </c>
      <c r="B32" s="76">
        <v>44</v>
      </c>
      <c r="C32" s="77">
        <v>1.1871342649276129</v>
      </c>
      <c r="D32" s="78">
        <f t="shared" si="1"/>
        <v>6.5434492832930791E-2</v>
      </c>
      <c r="E32" s="78">
        <v>0.84212798160361202</v>
      </c>
      <c r="F32" s="78">
        <v>0.3453500897694991</v>
      </c>
      <c r="G32" s="79">
        <f t="shared" si="2"/>
        <v>3.1600000000000003E-2</v>
      </c>
      <c r="H32" s="80">
        <v>0.17031362769732772</v>
      </c>
      <c r="I32" s="78">
        <f t="shared" si="3"/>
        <v>2.3068000000000002E-2</v>
      </c>
      <c r="J32" s="79">
        <f t="shared" si="4"/>
        <v>0.15787201839638798</v>
      </c>
      <c r="K32" s="81">
        <f t="shared" si="5"/>
        <v>5.8746009097019908E-2</v>
      </c>
      <c r="L32" s="78">
        <f t="shared" si="0"/>
        <v>5.8746009097019991E-2</v>
      </c>
    </row>
    <row r="33" spans="1:12">
      <c r="A33" s="76" t="s">
        <v>122</v>
      </c>
      <c r="B33" s="76">
        <v>160</v>
      </c>
      <c r="C33" s="77">
        <v>1.0891943033566154</v>
      </c>
      <c r="D33" s="78">
        <f t="shared" si="1"/>
        <v>6.1281838462320493E-2</v>
      </c>
      <c r="E33" s="78">
        <v>0.81705500651224794</v>
      </c>
      <c r="F33" s="78">
        <v>0.41173436630184901</v>
      </c>
      <c r="G33" s="79">
        <f t="shared" si="2"/>
        <v>3.5780000000000006E-2</v>
      </c>
      <c r="H33" s="80">
        <v>0.10174590583258099</v>
      </c>
      <c r="I33" s="78">
        <f t="shared" si="3"/>
        <v>2.6119400000000004E-2</v>
      </c>
      <c r="J33" s="79">
        <f t="shared" si="4"/>
        <v>0.18294499348775206</v>
      </c>
      <c r="K33" s="81">
        <f t="shared" si="5"/>
        <v>5.4849046386817785E-2</v>
      </c>
      <c r="L33" s="78">
        <f t="shared" si="0"/>
        <v>5.4849046386817868E-2</v>
      </c>
    </row>
    <row r="34" spans="1:12">
      <c r="A34" s="76" t="s">
        <v>123</v>
      </c>
      <c r="B34" s="76">
        <v>11</v>
      </c>
      <c r="C34" s="77">
        <v>0.93412874253081224</v>
      </c>
      <c r="D34" s="78">
        <f t="shared" si="1"/>
        <v>5.4707058683306442E-2</v>
      </c>
      <c r="E34" s="78">
        <v>0.62455014095968042</v>
      </c>
      <c r="F34" s="78">
        <v>0.20073197351870248</v>
      </c>
      <c r="G34" s="79">
        <f t="shared" si="2"/>
        <v>2.5000000000000001E-2</v>
      </c>
      <c r="H34" s="80">
        <v>0.18081855366024835</v>
      </c>
      <c r="I34" s="78">
        <f t="shared" si="3"/>
        <v>1.8249999999999999E-2</v>
      </c>
      <c r="J34" s="79">
        <f t="shared" si="4"/>
        <v>0.37544985904031958</v>
      </c>
      <c r="K34" s="81">
        <f t="shared" si="5"/>
        <v>4.1019261139634375E-2</v>
      </c>
      <c r="L34" s="78">
        <f t="shared" si="0"/>
        <v>4.1019261139634278E-2</v>
      </c>
    </row>
    <row r="35" spans="1:12">
      <c r="A35" s="76" t="s">
        <v>124</v>
      </c>
      <c r="B35" s="76">
        <v>35</v>
      </c>
      <c r="C35" s="77">
        <v>1.1624244348249126</v>
      </c>
      <c r="D35" s="78">
        <f t="shared" si="1"/>
        <v>6.4386796036576294E-2</v>
      </c>
      <c r="E35" s="78">
        <v>0.69081340375647915</v>
      </c>
      <c r="F35" s="78">
        <v>0.4501887768770812</v>
      </c>
      <c r="G35" s="79">
        <f t="shared" si="2"/>
        <v>3.5780000000000006E-2</v>
      </c>
      <c r="H35" s="80">
        <v>0.10017554955486276</v>
      </c>
      <c r="I35" s="78">
        <f t="shared" si="3"/>
        <v>2.6119400000000004E-2</v>
      </c>
      <c r="J35" s="79">
        <f t="shared" si="4"/>
        <v>0.30918659624352085</v>
      </c>
      <c r="K35" s="81">
        <f t="shared" si="5"/>
        <v>5.2555030108924469E-2</v>
      </c>
      <c r="L35" s="78">
        <f t="shared" si="0"/>
        <v>5.2555030108924372E-2</v>
      </c>
    </row>
    <row r="36" spans="1:12">
      <c r="A36" s="76" t="s">
        <v>125</v>
      </c>
      <c r="B36" s="76">
        <v>4</v>
      </c>
      <c r="C36" s="77">
        <v>1.5028204045767186</v>
      </c>
      <c r="D36" s="78">
        <f t="shared" si="1"/>
        <v>7.8819585154052865E-2</v>
      </c>
      <c r="E36" s="78">
        <v>0.67843515591078785</v>
      </c>
      <c r="F36" s="78">
        <v>0.37291591458524248</v>
      </c>
      <c r="G36" s="79">
        <f t="shared" si="2"/>
        <v>3.1600000000000003E-2</v>
      </c>
      <c r="H36" s="80">
        <v>3.8971683500517135E-2</v>
      </c>
      <c r="I36" s="78">
        <f t="shared" si="3"/>
        <v>2.3068000000000002E-2</v>
      </c>
      <c r="J36" s="79">
        <f t="shared" si="4"/>
        <v>0.32156484408921215</v>
      </c>
      <c r="K36" s="81">
        <f t="shared" si="5"/>
        <v>6.0891835366263421E-2</v>
      </c>
      <c r="L36" s="78">
        <f t="shared" si="0"/>
        <v>6.0891835366263525E-2</v>
      </c>
    </row>
    <row r="37" spans="1:12">
      <c r="A37" s="76" t="s">
        <v>126</v>
      </c>
      <c r="B37" s="76">
        <v>81</v>
      </c>
      <c r="C37" s="77">
        <v>1.1027466358300211</v>
      </c>
      <c r="D37" s="78">
        <f t="shared" si="1"/>
        <v>6.1856457359192894E-2</v>
      </c>
      <c r="E37" s="78">
        <v>0.83704424085048723</v>
      </c>
      <c r="F37" s="78">
        <v>0.40723720919299955</v>
      </c>
      <c r="G37" s="79">
        <f t="shared" si="2"/>
        <v>3.5780000000000006E-2</v>
      </c>
      <c r="H37" s="80">
        <v>0.10121764420030459</v>
      </c>
      <c r="I37" s="78">
        <f t="shared" si="3"/>
        <v>2.6119400000000004E-2</v>
      </c>
      <c r="J37" s="79">
        <f t="shared" si="4"/>
        <v>0.16295575914951277</v>
      </c>
      <c r="K37" s="81">
        <f t="shared" si="5"/>
        <v>5.6032898047455933E-2</v>
      </c>
      <c r="L37" s="78">
        <f t="shared" si="0"/>
        <v>5.6032898047456037E-2</v>
      </c>
    </row>
    <row r="38" spans="1:12">
      <c r="A38" s="76" t="s">
        <v>127</v>
      </c>
      <c r="B38" s="76">
        <v>18</v>
      </c>
      <c r="C38" s="77">
        <v>0.91562861731458423</v>
      </c>
      <c r="D38" s="78">
        <f t="shared" si="1"/>
        <v>5.3922653374138374E-2</v>
      </c>
      <c r="E38" s="78">
        <v>0.7059725410933837</v>
      </c>
      <c r="F38" s="78">
        <v>0.58569716334995692</v>
      </c>
      <c r="G38" s="79">
        <f t="shared" si="2"/>
        <v>3.5780000000000006E-2</v>
      </c>
      <c r="H38" s="80">
        <v>7.3738590557383115E-3</v>
      </c>
      <c r="I38" s="78">
        <f t="shared" si="3"/>
        <v>2.6119400000000004E-2</v>
      </c>
      <c r="J38" s="79">
        <f t="shared" si="4"/>
        <v>0.2940274589066163</v>
      </c>
      <c r="K38" s="81">
        <f t="shared" si="5"/>
        <v>4.5747733435203664E-2</v>
      </c>
      <c r="L38" s="78">
        <f t="shared" si="0"/>
        <v>4.5747733435203664E-2</v>
      </c>
    </row>
    <row r="39" spans="1:12">
      <c r="A39" s="76" t="s">
        <v>128</v>
      </c>
      <c r="B39" s="76">
        <v>83</v>
      </c>
      <c r="C39" s="77">
        <v>1.1988227196575996</v>
      </c>
      <c r="D39" s="78">
        <f t="shared" si="1"/>
        <v>6.5930083313482227E-2</v>
      </c>
      <c r="E39" s="78">
        <v>0.78776960814543662</v>
      </c>
      <c r="F39" s="78">
        <v>0.48442476717078692</v>
      </c>
      <c r="G39" s="79">
        <f t="shared" si="2"/>
        <v>3.5780000000000006E-2</v>
      </c>
      <c r="H39" s="80">
        <v>8.1911879732862569E-2</v>
      </c>
      <c r="I39" s="78">
        <f t="shared" si="3"/>
        <v>2.6119400000000004E-2</v>
      </c>
      <c r="J39" s="79">
        <f t="shared" si="4"/>
        <v>0.21223039185456338</v>
      </c>
      <c r="K39" s="81">
        <f t="shared" si="5"/>
        <v>5.7481046393863963E-2</v>
      </c>
      <c r="L39" s="78">
        <f t="shared" si="0"/>
        <v>5.7481046393863977E-2</v>
      </c>
    </row>
    <row r="40" spans="1:12">
      <c r="A40" s="76" t="s">
        <v>129</v>
      </c>
      <c r="B40" s="76">
        <v>46</v>
      </c>
      <c r="C40" s="77">
        <v>1.2867471319469845</v>
      </c>
      <c r="D40" s="78">
        <f t="shared" si="1"/>
        <v>6.9658078394552139E-2</v>
      </c>
      <c r="E40" s="78">
        <v>0.92957072624006787</v>
      </c>
      <c r="F40" s="78">
        <v>0.51273763968373698</v>
      </c>
      <c r="G40" s="79">
        <f t="shared" si="2"/>
        <v>3.5780000000000006E-2</v>
      </c>
      <c r="H40" s="80">
        <v>4.9551329705347612E-2</v>
      </c>
      <c r="I40" s="78">
        <f t="shared" si="3"/>
        <v>2.6119400000000004E-2</v>
      </c>
      <c r="J40" s="79">
        <f t="shared" si="4"/>
        <v>7.0429273759932132E-2</v>
      </c>
      <c r="K40" s="81">
        <f t="shared" si="5"/>
        <v>6.6591680894756589E-2</v>
      </c>
      <c r="L40" s="78">
        <f t="shared" si="0"/>
        <v>6.6591680894756644E-2</v>
      </c>
    </row>
    <row r="41" spans="1:12">
      <c r="A41" s="76" t="s">
        <v>130</v>
      </c>
      <c r="B41" s="76">
        <v>48</v>
      </c>
      <c r="C41" s="77">
        <v>1.1085751411224292</v>
      </c>
      <c r="D41" s="78">
        <f t="shared" si="1"/>
        <v>6.2103585983590996E-2</v>
      </c>
      <c r="E41" s="78">
        <v>0.78160581624357162</v>
      </c>
      <c r="F41" s="78">
        <v>0.40006447227811393</v>
      </c>
      <c r="G41" s="79">
        <f t="shared" si="2"/>
        <v>3.5780000000000006E-2</v>
      </c>
      <c r="H41" s="80">
        <v>0.13003752134769175</v>
      </c>
      <c r="I41" s="78">
        <f t="shared" si="3"/>
        <v>2.6119400000000004E-2</v>
      </c>
      <c r="J41" s="79">
        <f t="shared" si="4"/>
        <v>0.21839418375642838</v>
      </c>
      <c r="K41" s="81">
        <f t="shared" si="5"/>
        <v>5.4244849057565131E-2</v>
      </c>
      <c r="L41" s="78">
        <f t="shared" si="0"/>
        <v>5.4244849057565103E-2</v>
      </c>
    </row>
    <row r="42" spans="1:12">
      <c r="A42" s="76" t="s">
        <v>131</v>
      </c>
      <c r="B42" s="76">
        <v>22</v>
      </c>
      <c r="C42" s="77">
        <v>0.75438848401831449</v>
      </c>
      <c r="D42" s="78">
        <f t="shared" si="1"/>
        <v>4.7086071722376534E-2</v>
      </c>
      <c r="E42" s="78">
        <v>0.81552101766767726</v>
      </c>
      <c r="F42" s="78">
        <v>0.30110983992728102</v>
      </c>
      <c r="G42" s="79">
        <f t="shared" si="2"/>
        <v>3.1600000000000003E-2</v>
      </c>
      <c r="H42" s="80">
        <v>7.2366117066743563E-2</v>
      </c>
      <c r="I42" s="78">
        <f t="shared" si="3"/>
        <v>2.3068000000000002E-2</v>
      </c>
      <c r="J42" s="79">
        <f t="shared" si="4"/>
        <v>0.18447898233232274</v>
      </c>
      <c r="K42" s="81">
        <f t="shared" si="5"/>
        <v>4.2655242293447769E-2</v>
      </c>
      <c r="L42" s="78">
        <f t="shared" si="0"/>
        <v>4.2655242293447859E-2</v>
      </c>
    </row>
    <row r="43" spans="1:12">
      <c r="A43" s="76" t="s">
        <v>132</v>
      </c>
      <c r="B43" s="76">
        <v>581</v>
      </c>
      <c r="C43" s="77">
        <v>0.99294902726016787</v>
      </c>
      <c r="D43" s="78">
        <f t="shared" si="1"/>
        <v>5.7201038755831123E-2</v>
      </c>
      <c r="E43" s="78">
        <v>0.86730660261446868</v>
      </c>
      <c r="F43" s="78">
        <v>0.5079855471721394</v>
      </c>
      <c r="G43" s="79">
        <f t="shared" si="2"/>
        <v>3.5780000000000006E-2</v>
      </c>
      <c r="H43" s="80">
        <v>5.3360137732729645E-3</v>
      </c>
      <c r="I43" s="78">
        <f t="shared" si="3"/>
        <v>2.6119400000000004E-2</v>
      </c>
      <c r="J43" s="79">
        <f t="shared" si="4"/>
        <v>0.13269339738553132</v>
      </c>
      <c r="K43" s="81">
        <f t="shared" si="5"/>
        <v>5.3076710513010092E-2</v>
      </c>
      <c r="L43" s="78">
        <f t="shared" si="0"/>
        <v>5.3076710513010106E-2</v>
      </c>
    </row>
    <row r="44" spans="1:12">
      <c r="A44" s="76" t="s">
        <v>133</v>
      </c>
      <c r="B44" s="76">
        <v>298</v>
      </c>
      <c r="C44" s="77">
        <v>1.0762958947157115</v>
      </c>
      <c r="D44" s="78">
        <f t="shared" si="1"/>
        <v>6.0734945935946173E-2</v>
      </c>
      <c r="E44" s="78">
        <v>0.87191148841195476</v>
      </c>
      <c r="F44" s="78">
        <v>0.56166469538744046</v>
      </c>
      <c r="G44" s="79">
        <f t="shared" si="2"/>
        <v>3.5780000000000006E-2</v>
      </c>
      <c r="H44" s="80">
        <v>2.178774851012449E-2</v>
      </c>
      <c r="I44" s="78">
        <f t="shared" si="3"/>
        <v>2.6119400000000004E-2</v>
      </c>
      <c r="J44" s="79">
        <f t="shared" si="4"/>
        <v>0.12808851158804524</v>
      </c>
      <c r="K44" s="81">
        <f t="shared" si="5"/>
        <v>5.6301092179203226E-2</v>
      </c>
      <c r="L44" s="78">
        <f t="shared" si="0"/>
        <v>5.6301092179203316E-2</v>
      </c>
    </row>
    <row r="45" spans="1:12">
      <c r="A45" s="76" t="s">
        <v>134</v>
      </c>
      <c r="B45" s="76">
        <v>35</v>
      </c>
      <c r="C45" s="77">
        <v>1.126079034173197</v>
      </c>
      <c r="D45" s="78">
        <f t="shared" si="1"/>
        <v>6.2845751048943549E-2</v>
      </c>
      <c r="E45" s="78">
        <v>0.79552201268785427</v>
      </c>
      <c r="F45" s="78">
        <v>0.41501556570085196</v>
      </c>
      <c r="G45" s="79">
        <f t="shared" si="2"/>
        <v>3.5780000000000006E-2</v>
      </c>
      <c r="H45" s="80">
        <v>7.6437319032598774E-2</v>
      </c>
      <c r="I45" s="78">
        <f t="shared" si="3"/>
        <v>2.6119400000000004E-2</v>
      </c>
      <c r="J45" s="79">
        <f t="shared" si="4"/>
        <v>0.20447798731214573</v>
      </c>
      <c r="K45" s="81">
        <f t="shared" si="5"/>
        <v>5.5336020705136255E-2</v>
      </c>
      <c r="L45" s="78">
        <f t="shared" si="0"/>
        <v>5.5336020705136324E-2</v>
      </c>
    </row>
    <row r="46" spans="1:12">
      <c r="A46" s="76" t="s">
        <v>135</v>
      </c>
      <c r="B46" s="76">
        <v>104</v>
      </c>
      <c r="C46" s="77">
        <v>1.2454054723858043</v>
      </c>
      <c r="D46" s="78">
        <f t="shared" si="1"/>
        <v>6.790519202915811E-2</v>
      </c>
      <c r="E46" s="78">
        <v>0.87957408593597319</v>
      </c>
      <c r="F46" s="78">
        <v>0.57659079263901347</v>
      </c>
      <c r="G46" s="79">
        <f t="shared" si="2"/>
        <v>3.5780000000000006E-2</v>
      </c>
      <c r="H46" s="80">
        <v>4.9831382144565346E-2</v>
      </c>
      <c r="I46" s="78">
        <f t="shared" si="3"/>
        <v>2.6119400000000004E-2</v>
      </c>
      <c r="J46" s="79">
        <f t="shared" si="4"/>
        <v>0.12042591406402681</v>
      </c>
      <c r="K46" s="81">
        <f t="shared" si="5"/>
        <v>6.2873099829157411E-2</v>
      </c>
      <c r="L46" s="78">
        <f t="shared" si="0"/>
        <v>6.2873099829157342E-2</v>
      </c>
    </row>
    <row r="47" spans="1:12">
      <c r="A47" s="76" t="s">
        <v>136</v>
      </c>
      <c r="B47" s="76">
        <v>16</v>
      </c>
      <c r="C47" s="77">
        <v>0.97597157996844286</v>
      </c>
      <c r="D47" s="78">
        <f t="shared" si="1"/>
        <v>5.6481194990661981E-2</v>
      </c>
      <c r="E47" s="78">
        <v>0.92923035904416917</v>
      </c>
      <c r="F47" s="78">
        <v>0.52537778573309879</v>
      </c>
      <c r="G47" s="79">
        <f t="shared" si="2"/>
        <v>3.5780000000000006E-2</v>
      </c>
      <c r="H47" s="80">
        <v>4.8714257495662168E-2</v>
      </c>
      <c r="I47" s="78">
        <f t="shared" si="3"/>
        <v>2.6119400000000004E-2</v>
      </c>
      <c r="J47" s="79">
        <f t="shared" si="4"/>
        <v>7.0769640955830826E-2</v>
      </c>
      <c r="K47" s="81">
        <f t="shared" si="5"/>
        <v>5.433250166039829E-2</v>
      </c>
      <c r="L47" s="78">
        <f t="shared" si="0"/>
        <v>5.433250166039838E-2</v>
      </c>
    </row>
    <row r="48" spans="1:12">
      <c r="A48" s="76" t="s">
        <v>137</v>
      </c>
      <c r="B48" s="76">
        <v>137</v>
      </c>
      <c r="C48" s="77">
        <v>1.0852813664904801</v>
      </c>
      <c r="D48" s="78">
        <f t="shared" si="1"/>
        <v>6.1115929939196359E-2</v>
      </c>
      <c r="E48" s="78">
        <v>0.88691415337860813</v>
      </c>
      <c r="F48" s="78">
        <v>0.43445536743726587</v>
      </c>
      <c r="G48" s="79">
        <f t="shared" si="2"/>
        <v>3.5780000000000006E-2</v>
      </c>
      <c r="H48" s="80">
        <v>6.662302423197819E-2</v>
      </c>
      <c r="I48" s="78">
        <f t="shared" si="3"/>
        <v>2.6119400000000004E-2</v>
      </c>
      <c r="J48" s="79">
        <f t="shared" si="4"/>
        <v>0.11308584662139187</v>
      </c>
      <c r="K48" s="81">
        <f t="shared" si="5"/>
        <v>5.7158317722211451E-2</v>
      </c>
      <c r="L48" s="78">
        <f t="shared" si="0"/>
        <v>5.7158317722211471E-2</v>
      </c>
    </row>
    <row r="49" spans="1:12">
      <c r="A49" s="76" t="s">
        <v>138</v>
      </c>
      <c r="B49" s="76">
        <v>48</v>
      </c>
      <c r="C49" s="77">
        <v>1.0580888104396409</v>
      </c>
      <c r="D49" s="78">
        <f t="shared" si="1"/>
        <v>5.9962965562640774E-2</v>
      </c>
      <c r="E49" s="78">
        <v>0.79622247687216408</v>
      </c>
      <c r="F49" s="78">
        <v>0.36356045751846738</v>
      </c>
      <c r="G49" s="79">
        <f t="shared" si="2"/>
        <v>3.1600000000000003E-2</v>
      </c>
      <c r="H49" s="80">
        <v>0.13532349216489806</v>
      </c>
      <c r="I49" s="78">
        <f t="shared" si="3"/>
        <v>2.3068000000000002E-2</v>
      </c>
      <c r="J49" s="79">
        <f t="shared" si="4"/>
        <v>0.20377752312783592</v>
      </c>
      <c r="K49" s="81">
        <f t="shared" si="5"/>
        <v>5.2444600864399032E-2</v>
      </c>
      <c r="L49" s="78">
        <f t="shared" si="0"/>
        <v>5.244460086439906E-2</v>
      </c>
    </row>
    <row r="50" spans="1:12">
      <c r="A50" s="76" t="s">
        <v>139</v>
      </c>
      <c r="B50" s="76">
        <v>108</v>
      </c>
      <c r="C50" s="77">
        <v>1.0122823301704778</v>
      </c>
      <c r="D50" s="78">
        <f t="shared" si="1"/>
        <v>5.8020770799228259E-2</v>
      </c>
      <c r="E50" s="78">
        <v>0.86780491420293415</v>
      </c>
      <c r="F50" s="78">
        <v>0.59629361364356803</v>
      </c>
      <c r="G50" s="79">
        <f t="shared" si="2"/>
        <v>3.5780000000000006E-2</v>
      </c>
      <c r="H50" s="80">
        <v>2.640286279002356E-2</v>
      </c>
      <c r="I50" s="78">
        <f t="shared" si="3"/>
        <v>2.6119400000000004E-2</v>
      </c>
      <c r="J50" s="79">
        <f t="shared" si="4"/>
        <v>0.13219508579706585</v>
      </c>
      <c r="K50" s="81">
        <f t="shared" si="5"/>
        <v>5.3803566349380272E-2</v>
      </c>
      <c r="L50" s="78">
        <f t="shared" si="0"/>
        <v>5.3803566349380327E-2</v>
      </c>
    </row>
    <row r="51" spans="1:12">
      <c r="A51" s="76" t="s">
        <v>140</v>
      </c>
      <c r="B51" s="76">
        <v>58</v>
      </c>
      <c r="C51" s="77">
        <v>1.2403337750925647</v>
      </c>
      <c r="D51" s="78">
        <f t="shared" si="1"/>
        <v>6.7690152063924744E-2</v>
      </c>
      <c r="E51" s="78">
        <v>0.82736918716814867</v>
      </c>
      <c r="F51" s="78">
        <v>0.4301364050735858</v>
      </c>
      <c r="G51" s="79">
        <f t="shared" si="2"/>
        <v>3.5780000000000006E-2</v>
      </c>
      <c r="H51" s="80">
        <v>5.9026616593522936E-2</v>
      </c>
      <c r="I51" s="78">
        <f t="shared" si="3"/>
        <v>2.6119400000000004E-2</v>
      </c>
      <c r="J51" s="79">
        <f t="shared" si="4"/>
        <v>0.17263081283185133</v>
      </c>
      <c r="K51" s="81">
        <f t="shared" si="5"/>
        <v>6.0513759345098055E-2</v>
      </c>
      <c r="L51" s="78">
        <f t="shared" si="0"/>
        <v>6.0513759345097951E-2</v>
      </c>
    </row>
    <row r="52" spans="1:12">
      <c r="A52" s="76" t="s">
        <v>141</v>
      </c>
      <c r="B52" s="76">
        <v>36</v>
      </c>
      <c r="C52" s="77">
        <v>1.0303173351336656</v>
      </c>
      <c r="D52" s="78">
        <f t="shared" si="1"/>
        <v>5.8785455009667427E-2</v>
      </c>
      <c r="E52" s="78">
        <v>0.73089082078843592</v>
      </c>
      <c r="F52" s="78">
        <v>0.46445615850244931</v>
      </c>
      <c r="G52" s="79">
        <f t="shared" si="2"/>
        <v>3.5780000000000006E-2</v>
      </c>
      <c r="H52" s="80">
        <v>7.648943851833076E-2</v>
      </c>
      <c r="I52" s="78">
        <f t="shared" si="3"/>
        <v>2.6119400000000004E-2</v>
      </c>
      <c r="J52" s="79">
        <f t="shared" si="4"/>
        <v>0.26910917921156408</v>
      </c>
      <c r="K52" s="81">
        <f t="shared" si="5"/>
        <v>4.9994719757936026E-2</v>
      </c>
      <c r="L52" s="78">
        <f t="shared" si="0"/>
        <v>4.9994719757936013E-2</v>
      </c>
    </row>
    <row r="53" spans="1:12">
      <c r="A53" s="76" t="s">
        <v>142</v>
      </c>
      <c r="B53" s="76">
        <v>223</v>
      </c>
      <c r="C53" s="77">
        <v>0.92723132944233655</v>
      </c>
      <c r="D53" s="78">
        <f t="shared" si="1"/>
        <v>5.4414608368355072E-2</v>
      </c>
      <c r="E53" s="78">
        <v>0.12101074243483401</v>
      </c>
      <c r="F53" s="78">
        <v>0.28521282491479844</v>
      </c>
      <c r="G53" s="79">
        <f t="shared" si="2"/>
        <v>3.1600000000000003E-2</v>
      </c>
      <c r="H53" s="80">
        <v>0.15596533644390684</v>
      </c>
      <c r="I53" s="78">
        <f t="shared" si="3"/>
        <v>2.3068000000000002E-2</v>
      </c>
      <c r="J53" s="79">
        <f t="shared" si="4"/>
        <v>0.87898925756516599</v>
      </c>
      <c r="K53" s="81">
        <f t="shared" si="5"/>
        <v>2.6861276351468628E-2</v>
      </c>
      <c r="L53" s="78">
        <f t="shared" si="0"/>
        <v>2.6861276351468621E-2</v>
      </c>
    </row>
    <row r="54" spans="1:12">
      <c r="A54" s="76" t="s">
        <v>143</v>
      </c>
      <c r="B54" s="76">
        <v>92</v>
      </c>
      <c r="C54" s="77">
        <v>0.75087548567822249</v>
      </c>
      <c r="D54" s="78">
        <f t="shared" si="1"/>
        <v>4.6937120592756634E-2</v>
      </c>
      <c r="E54" s="78">
        <v>0.7661772964719642</v>
      </c>
      <c r="F54" s="78">
        <v>0.27689849214888734</v>
      </c>
      <c r="G54" s="79">
        <f t="shared" si="2"/>
        <v>3.1600000000000003E-2</v>
      </c>
      <c r="H54" s="80">
        <v>0.10535526664844255</v>
      </c>
      <c r="I54" s="78">
        <f t="shared" si="3"/>
        <v>2.3068000000000002E-2</v>
      </c>
      <c r="J54" s="79">
        <f t="shared" si="4"/>
        <v>0.2338227035280358</v>
      </c>
      <c r="K54" s="81">
        <f t="shared" si="5"/>
        <v>4.1355978284921567E-2</v>
      </c>
      <c r="L54" s="78">
        <f t="shared" si="0"/>
        <v>4.1355978284921546E-2</v>
      </c>
    </row>
    <row r="55" spans="1:12">
      <c r="A55" s="76" t="s">
        <v>144</v>
      </c>
      <c r="B55" s="76">
        <v>15</v>
      </c>
      <c r="C55" s="77">
        <v>1.401559850161499</v>
      </c>
      <c r="D55" s="78">
        <f t="shared" si="1"/>
        <v>7.4526137646847554E-2</v>
      </c>
      <c r="E55" s="78">
        <v>0.68062286274305428</v>
      </c>
      <c r="F55" s="78">
        <v>0.54009105451663864</v>
      </c>
      <c r="G55" s="79">
        <f t="shared" si="2"/>
        <v>3.5780000000000006E-2</v>
      </c>
      <c r="H55" s="80">
        <v>8.6038431764597037E-2</v>
      </c>
      <c r="I55" s="78">
        <f t="shared" si="3"/>
        <v>2.6119400000000004E-2</v>
      </c>
      <c r="J55" s="79">
        <f t="shared" si="4"/>
        <v>0.31937713725694572</v>
      </c>
      <c r="K55" s="81">
        <f t="shared" si="5"/>
        <v>5.9066132353249368E-2</v>
      </c>
      <c r="L55" s="78">
        <f t="shared" si="0"/>
        <v>5.9066132353249312E-2</v>
      </c>
    </row>
    <row r="56" spans="1:12">
      <c r="A56" s="76" t="s">
        <v>145</v>
      </c>
      <c r="B56" s="76">
        <v>32</v>
      </c>
      <c r="C56" s="77">
        <v>1.1088014488748397</v>
      </c>
      <c r="D56" s="78">
        <f t="shared" si="1"/>
        <v>6.2113181432293205E-2</v>
      </c>
      <c r="E56" s="78">
        <v>0.77729588907998282</v>
      </c>
      <c r="F56" s="78">
        <v>0.44770374234314908</v>
      </c>
      <c r="G56" s="79">
        <f t="shared" si="2"/>
        <v>3.5780000000000006E-2</v>
      </c>
      <c r="H56" s="80">
        <v>0.11736651244930431</v>
      </c>
      <c r="I56" s="78">
        <f t="shared" si="3"/>
        <v>2.6119400000000004E-2</v>
      </c>
      <c r="J56" s="79">
        <f t="shared" si="4"/>
        <v>0.22270411092001718</v>
      </c>
      <c r="K56" s="81">
        <f t="shared" si="5"/>
        <v>5.4097218339764927E-2</v>
      </c>
      <c r="L56" s="78">
        <f t="shared" si="0"/>
        <v>5.4097218339764996E-2</v>
      </c>
    </row>
    <row r="57" spans="1:12">
      <c r="A57" s="76" t="s">
        <v>146</v>
      </c>
      <c r="B57" s="76">
        <v>20</v>
      </c>
      <c r="C57" s="77">
        <v>1.5881139269244424</v>
      </c>
      <c r="D57" s="78">
        <f t="shared" si="1"/>
        <v>8.2436030501596355E-2</v>
      </c>
      <c r="E57" s="78">
        <v>0.60014373219647643</v>
      </c>
      <c r="F57" s="78">
        <v>0.81755861287211706</v>
      </c>
      <c r="G57" s="79">
        <f t="shared" si="2"/>
        <v>8.1225000000000006E-2</v>
      </c>
      <c r="H57" s="80">
        <v>1.4345018450184502E-2</v>
      </c>
      <c r="I57" s="78">
        <f t="shared" si="3"/>
        <v>5.929425E-2</v>
      </c>
      <c r="J57" s="79">
        <f t="shared" si="4"/>
        <v>0.39985626780352357</v>
      </c>
      <c r="K57" s="81">
        <f t="shared" si="5"/>
        <v>7.3182644519899684E-2</v>
      </c>
      <c r="L57" s="78">
        <f t="shared" si="0"/>
        <v>7.3182644519899753E-2</v>
      </c>
    </row>
    <row r="58" spans="1:12">
      <c r="A58" s="76" t="s">
        <v>147</v>
      </c>
      <c r="B58" s="76">
        <v>244</v>
      </c>
      <c r="C58" s="77">
        <v>0.93812811740251056</v>
      </c>
      <c r="D58" s="78">
        <f t="shared" si="1"/>
        <v>5.4876632177866452E-2</v>
      </c>
      <c r="E58" s="78">
        <v>0.92068368608133566</v>
      </c>
      <c r="F58" s="78">
        <v>0.43812192128294053</v>
      </c>
      <c r="G58" s="79">
        <f t="shared" si="2"/>
        <v>3.5780000000000006E-2</v>
      </c>
      <c r="H58" s="80">
        <v>4.1498004287479962E-2</v>
      </c>
      <c r="I58" s="78">
        <f t="shared" si="3"/>
        <v>2.6119400000000004E-2</v>
      </c>
      <c r="J58" s="79">
        <f t="shared" si="4"/>
        <v>7.9316313918664338E-2</v>
      </c>
      <c r="K58" s="81">
        <f t="shared" si="5"/>
        <v>5.2595714523014883E-2</v>
      </c>
      <c r="L58" s="78">
        <f t="shared" si="0"/>
        <v>5.2595714523014925E-2</v>
      </c>
    </row>
    <row r="59" spans="1:12">
      <c r="A59" s="76" t="s">
        <v>148</v>
      </c>
      <c r="B59" s="76">
        <v>131</v>
      </c>
      <c r="C59" s="77">
        <v>1.057838047110971</v>
      </c>
      <c r="D59" s="78">
        <f t="shared" si="1"/>
        <v>5.9952333197505168E-2</v>
      </c>
      <c r="E59" s="78">
        <v>0.80288446764111965</v>
      </c>
      <c r="F59" s="78">
        <v>0.46857189884223849</v>
      </c>
      <c r="G59" s="79">
        <f t="shared" si="2"/>
        <v>3.5780000000000006E-2</v>
      </c>
      <c r="H59" s="80">
        <v>7.723515749209707E-2</v>
      </c>
      <c r="I59" s="78">
        <f t="shared" si="3"/>
        <v>2.6119400000000004E-2</v>
      </c>
      <c r="J59" s="79">
        <f t="shared" si="4"/>
        <v>0.19711553235888035</v>
      </c>
      <c r="K59" s="81">
        <f t="shared" si="5"/>
        <v>5.3283336559016507E-2</v>
      </c>
      <c r="L59" s="78">
        <f t="shared" si="0"/>
        <v>5.3283336559016403E-2</v>
      </c>
    </row>
    <row r="60" spans="1:12">
      <c r="A60" s="76" t="s">
        <v>149</v>
      </c>
      <c r="B60" s="76">
        <v>142</v>
      </c>
      <c r="C60" s="77">
        <v>0.94168209233744604</v>
      </c>
      <c r="D60" s="78">
        <f t="shared" si="1"/>
        <v>5.5027320715107714E-2</v>
      </c>
      <c r="E60" s="78">
        <v>0.9113590966613988</v>
      </c>
      <c r="F60" s="78">
        <v>0.46284328241580508</v>
      </c>
      <c r="G60" s="79">
        <f t="shared" si="2"/>
        <v>3.5780000000000006E-2</v>
      </c>
      <c r="H60" s="80">
        <v>3.5676392843752118E-2</v>
      </c>
      <c r="I60" s="78">
        <f t="shared" si="3"/>
        <v>2.6119400000000004E-2</v>
      </c>
      <c r="J60" s="79">
        <f t="shared" si="4"/>
        <v>8.8640903338601196E-2</v>
      </c>
      <c r="K60" s="81">
        <f t="shared" si="5"/>
        <v>5.24648965092799E-2</v>
      </c>
      <c r="L60" s="78">
        <f t="shared" si="0"/>
        <v>5.246489650927999E-2</v>
      </c>
    </row>
    <row r="61" spans="1:12">
      <c r="A61" s="76" t="s">
        <v>150</v>
      </c>
      <c r="B61" s="76">
        <v>29</v>
      </c>
      <c r="C61" s="77">
        <v>1.6852126723824632</v>
      </c>
      <c r="D61" s="78">
        <f t="shared" si="1"/>
        <v>8.6553017309016447E-2</v>
      </c>
      <c r="E61" s="78">
        <v>0.8198671400058396</v>
      </c>
      <c r="F61" s="78">
        <v>0.39474914713112236</v>
      </c>
      <c r="G61" s="79">
        <f t="shared" si="2"/>
        <v>3.1600000000000003E-2</v>
      </c>
      <c r="H61" s="80">
        <v>0.1862771689063305</v>
      </c>
      <c r="I61" s="78">
        <f t="shared" si="3"/>
        <v>2.3068000000000002E-2</v>
      </c>
      <c r="J61" s="79">
        <f t="shared" si="4"/>
        <v>0.1801328599941604</v>
      </c>
      <c r="K61" s="81">
        <f t="shared" si="5"/>
        <v>7.5117279574364537E-2</v>
      </c>
      <c r="L61" s="78">
        <f t="shared" si="0"/>
        <v>7.5117279574364648E-2</v>
      </c>
    </row>
    <row r="62" spans="1:12">
      <c r="A62" s="76" t="s">
        <v>151</v>
      </c>
      <c r="B62" s="76">
        <v>31</v>
      </c>
      <c r="C62" s="77">
        <v>1.4135234232504976</v>
      </c>
      <c r="D62" s="78">
        <f t="shared" si="1"/>
        <v>7.5033393145821095E-2</v>
      </c>
      <c r="E62" s="78">
        <v>0.58487944822617588</v>
      </c>
      <c r="F62" s="78">
        <v>0.52313497710543133</v>
      </c>
      <c r="G62" s="79">
        <f t="shared" si="2"/>
        <v>3.5780000000000006E-2</v>
      </c>
      <c r="H62" s="80">
        <v>8.9870273670995066E-2</v>
      </c>
      <c r="I62" s="78">
        <f t="shared" si="3"/>
        <v>2.6119400000000004E-2</v>
      </c>
      <c r="J62" s="79">
        <f t="shared" si="4"/>
        <v>0.41512055177382412</v>
      </c>
      <c r="K62" s="81">
        <f t="shared" si="5"/>
        <v>5.4728189321666794E-2</v>
      </c>
      <c r="L62" s="78">
        <f t="shared" si="0"/>
        <v>5.4728189321666898E-2</v>
      </c>
    </row>
    <row r="63" spans="1:12">
      <c r="A63" s="76" t="s">
        <v>152</v>
      </c>
      <c r="B63" s="76">
        <v>66</v>
      </c>
      <c r="C63" s="77">
        <v>1.7944070682595588</v>
      </c>
      <c r="D63" s="78">
        <f t="shared" si="1"/>
        <v>9.1182859694205295E-2</v>
      </c>
      <c r="E63" s="78">
        <v>0.68488115534286864</v>
      </c>
      <c r="F63" s="78">
        <v>0.43867344000025082</v>
      </c>
      <c r="G63" s="79">
        <f t="shared" si="2"/>
        <v>3.5780000000000006E-2</v>
      </c>
      <c r="H63" s="80">
        <v>6.0193001225566367E-2</v>
      </c>
      <c r="I63" s="78">
        <f t="shared" si="3"/>
        <v>2.6119400000000004E-2</v>
      </c>
      <c r="J63" s="79">
        <f t="shared" si="4"/>
        <v>0.31511884465713136</v>
      </c>
      <c r="K63" s="81">
        <f t="shared" si="5"/>
        <v>7.06801374459715E-2</v>
      </c>
      <c r="L63" s="78">
        <f t="shared" si="0"/>
        <v>7.0680137445971569E-2</v>
      </c>
    </row>
    <row r="64" spans="1:12">
      <c r="A64" s="76" t="s">
        <v>153</v>
      </c>
      <c r="B64" s="76">
        <v>118</v>
      </c>
      <c r="C64" s="77">
        <v>0.97963374895906408</v>
      </c>
      <c r="D64" s="78">
        <f t="shared" si="1"/>
        <v>5.663647095586432E-2</v>
      </c>
      <c r="E64" s="78">
        <v>0.88824395117293198</v>
      </c>
      <c r="F64" s="78">
        <v>0.58567665870757535</v>
      </c>
      <c r="G64" s="79">
        <f t="shared" si="2"/>
        <v>3.5780000000000006E-2</v>
      </c>
      <c r="H64" s="80">
        <v>5.8711697139282502E-2</v>
      </c>
      <c r="I64" s="78">
        <f t="shared" si="3"/>
        <v>2.6119400000000004E-2</v>
      </c>
      <c r="J64" s="79">
        <f t="shared" si="4"/>
        <v>0.11175604882706802</v>
      </c>
      <c r="K64" s="81">
        <f t="shared" si="5"/>
        <v>5.3226003684061649E-2</v>
      </c>
      <c r="L64" s="78">
        <f t="shared" si="0"/>
        <v>5.3226003684061718E-2</v>
      </c>
    </row>
    <row r="65" spans="1:12">
      <c r="A65" s="76" t="s">
        <v>154</v>
      </c>
      <c r="B65" s="76">
        <v>79</v>
      </c>
      <c r="C65" s="77">
        <v>1.2505092401142981</v>
      </c>
      <c r="D65" s="78">
        <f t="shared" si="1"/>
        <v>6.8121591780846244E-2</v>
      </c>
      <c r="E65" s="78">
        <v>0.90604349173166765</v>
      </c>
      <c r="F65" s="78">
        <v>0.46440838960204572</v>
      </c>
      <c r="G65" s="79">
        <f t="shared" si="2"/>
        <v>3.5780000000000006E-2</v>
      </c>
      <c r="H65" s="80">
        <v>0.11217685266167571</v>
      </c>
      <c r="I65" s="78">
        <f t="shared" si="3"/>
        <v>2.6119400000000004E-2</v>
      </c>
      <c r="J65" s="79">
        <f t="shared" si="4"/>
        <v>9.395650826833235E-2</v>
      </c>
      <c r="K65" s="81">
        <f t="shared" si="5"/>
        <v>6.4175212501501086E-2</v>
      </c>
      <c r="L65" s="78">
        <f t="shared" si="0"/>
        <v>6.4175212501501155E-2</v>
      </c>
    </row>
    <row r="66" spans="1:12">
      <c r="A66" s="76" t="s">
        <v>155</v>
      </c>
      <c r="B66" s="76">
        <v>23</v>
      </c>
      <c r="C66" s="77">
        <v>0.92216356074929473</v>
      </c>
      <c r="D66" s="78">
        <f t="shared" si="1"/>
        <v>5.4199734975770096E-2</v>
      </c>
      <c r="E66" s="78">
        <v>0.78963081411231462</v>
      </c>
      <c r="F66" s="78">
        <v>0.37150712020260479</v>
      </c>
      <c r="G66" s="79">
        <f t="shared" si="2"/>
        <v>3.1600000000000003E-2</v>
      </c>
      <c r="H66" s="80">
        <v>0.1143412696188517</v>
      </c>
      <c r="I66" s="78">
        <f t="shared" si="3"/>
        <v>2.3068000000000002E-2</v>
      </c>
      <c r="J66" s="79">
        <f t="shared" si="4"/>
        <v>0.21036918588768538</v>
      </c>
      <c r="K66" s="81">
        <f t="shared" si="5"/>
        <v>4.7650577233646157E-2</v>
      </c>
      <c r="L66" s="78">
        <f t="shared" si="0"/>
        <v>4.7650577233646185E-2</v>
      </c>
    </row>
    <row r="67" spans="1:12">
      <c r="A67" s="76" t="s">
        <v>156</v>
      </c>
      <c r="B67" s="76">
        <v>24</v>
      </c>
      <c r="C67" s="77">
        <v>1.22433280982246</v>
      </c>
      <c r="D67" s="78">
        <f t="shared" si="1"/>
        <v>6.7011711136472307E-2</v>
      </c>
      <c r="E67" s="78">
        <v>0.51921237132339471</v>
      </c>
      <c r="F67" s="78">
        <v>0.31813183698381947</v>
      </c>
      <c r="G67" s="79">
        <f t="shared" si="2"/>
        <v>3.1600000000000003E-2</v>
      </c>
      <c r="H67" s="80">
        <v>0.14281052722422083</v>
      </c>
      <c r="I67" s="78">
        <f t="shared" si="3"/>
        <v>2.3068000000000002E-2</v>
      </c>
      <c r="J67" s="79">
        <f t="shared" si="4"/>
        <v>0.48078762867660529</v>
      </c>
      <c r="K67" s="81">
        <f t="shared" si="5"/>
        <v>4.5884118463918058E-2</v>
      </c>
      <c r="L67" s="78">
        <f t="shared" si="0"/>
        <v>4.5884118463918044E-2</v>
      </c>
    </row>
    <row r="68" spans="1:12">
      <c r="A68" s="76" t="s">
        <v>157</v>
      </c>
      <c r="B68" s="76">
        <v>52</v>
      </c>
      <c r="C68" s="77">
        <v>0.86141825429816099</v>
      </c>
      <c r="D68" s="78">
        <f t="shared" si="1"/>
        <v>5.1624133982242026E-2</v>
      </c>
      <c r="E68" s="78">
        <v>0.80987124232101981</v>
      </c>
      <c r="F68" s="78">
        <v>0.2924427141293286</v>
      </c>
      <c r="G68" s="79">
        <f t="shared" si="2"/>
        <v>3.1600000000000003E-2</v>
      </c>
      <c r="H68" s="80">
        <v>0.13374947900624792</v>
      </c>
      <c r="I68" s="78">
        <f t="shared" si="3"/>
        <v>2.3068000000000002E-2</v>
      </c>
      <c r="J68" s="79">
        <f t="shared" si="4"/>
        <v>0.19012875767898019</v>
      </c>
      <c r="K68" s="81">
        <f t="shared" si="5"/>
        <v>4.6194791704083846E-2</v>
      </c>
      <c r="L68" s="78">
        <f t="shared" si="0"/>
        <v>4.6194791704083915E-2</v>
      </c>
    </row>
    <row r="69" spans="1:12">
      <c r="A69" s="76" t="s">
        <v>158</v>
      </c>
      <c r="B69" s="76">
        <v>687</v>
      </c>
      <c r="C69" s="77">
        <v>1.0483314155937387</v>
      </c>
      <c r="D69" s="78">
        <f t="shared" si="1"/>
        <v>5.9549252021174524E-2</v>
      </c>
      <c r="E69" s="78">
        <v>0.78166291326834847</v>
      </c>
      <c r="F69" s="78">
        <v>0.31969935251351472</v>
      </c>
      <c r="G69" s="79">
        <f t="shared" si="2"/>
        <v>3.1600000000000003E-2</v>
      </c>
      <c r="H69" s="80">
        <v>1.4181391416778924E-2</v>
      </c>
      <c r="I69" s="78">
        <f t="shared" si="3"/>
        <v>2.3068000000000002E-2</v>
      </c>
      <c r="J69" s="79">
        <f t="shared" si="4"/>
        <v>0.21833708673165153</v>
      </c>
      <c r="K69" s="81">
        <f t="shared" si="5"/>
        <v>5.1584041734548107E-2</v>
      </c>
      <c r="L69" s="78">
        <f t="shared" si="0"/>
        <v>5.1584041734548114E-2</v>
      </c>
    </row>
    <row r="70" spans="1:12">
      <c r="A70" s="76" t="s">
        <v>159</v>
      </c>
      <c r="B70" s="76">
        <v>111</v>
      </c>
      <c r="C70" s="77">
        <v>1.2471254008660198</v>
      </c>
      <c r="D70" s="78">
        <f t="shared" si="1"/>
        <v>6.797811699671924E-2</v>
      </c>
      <c r="E70" s="78">
        <v>0.87631086946605541</v>
      </c>
      <c r="F70" s="78">
        <v>0.34753389659061479</v>
      </c>
      <c r="G70" s="79">
        <f t="shared" si="2"/>
        <v>3.1600000000000003E-2</v>
      </c>
      <c r="H70" s="80">
        <v>0.10578730162320273</v>
      </c>
      <c r="I70" s="78">
        <f t="shared" si="3"/>
        <v>2.3068000000000002E-2</v>
      </c>
      <c r="J70" s="79">
        <f t="shared" si="4"/>
        <v>0.12368913053394459</v>
      </c>
      <c r="K70" s="81">
        <f t="shared" si="5"/>
        <v>6.2423223673217315E-2</v>
      </c>
      <c r="L70" s="78">
        <f t="shared" si="0"/>
        <v>6.2423223673217398E-2</v>
      </c>
    </row>
    <row r="71" spans="1:12">
      <c r="A71" s="76" t="s">
        <v>160</v>
      </c>
      <c r="B71" s="76">
        <v>74</v>
      </c>
      <c r="C71" s="77">
        <v>1.1729282199962749</v>
      </c>
      <c r="D71" s="78">
        <f t="shared" si="1"/>
        <v>6.4832156527842064E-2</v>
      </c>
      <c r="E71" s="78">
        <v>0.84622377199035959</v>
      </c>
      <c r="F71" s="78">
        <v>0.68076293704459445</v>
      </c>
      <c r="G71" s="79">
        <f t="shared" si="2"/>
        <v>4.6725000000000003E-2</v>
      </c>
      <c r="H71" s="80">
        <v>2.0710005938309711E-2</v>
      </c>
      <c r="I71" s="78">
        <f t="shared" si="3"/>
        <v>3.4109250000000001E-2</v>
      </c>
      <c r="J71" s="79">
        <f t="shared" si="4"/>
        <v>0.15377622800964041</v>
      </c>
      <c r="K71" s="81">
        <f t="shared" si="5"/>
        <v>6.0107703848497757E-2</v>
      </c>
      <c r="L71" s="78">
        <f t="shared" si="0"/>
        <v>6.010770384849784E-2</v>
      </c>
    </row>
    <row r="72" spans="1:12">
      <c r="A72" s="76" t="s">
        <v>161</v>
      </c>
      <c r="B72" s="76">
        <v>18</v>
      </c>
      <c r="C72" s="77">
        <v>1.3833133311473829</v>
      </c>
      <c r="D72" s="78">
        <f t="shared" si="1"/>
        <v>7.3752485240649035E-2</v>
      </c>
      <c r="E72" s="78">
        <v>0.67450710713117634</v>
      </c>
      <c r="F72" s="78">
        <v>0.31005686583587028</v>
      </c>
      <c r="G72" s="79">
        <f t="shared" si="2"/>
        <v>3.1600000000000003E-2</v>
      </c>
      <c r="H72" s="80">
        <v>8.9562712067280711E-2</v>
      </c>
      <c r="I72" s="78">
        <f t="shared" si="3"/>
        <v>2.3068000000000002E-2</v>
      </c>
      <c r="J72" s="79">
        <f t="shared" si="4"/>
        <v>0.32549289286882366</v>
      </c>
      <c r="K72" s="81">
        <f t="shared" si="5"/>
        <v>5.7255045516102984E-2</v>
      </c>
      <c r="L72" s="78">
        <f t="shared" si="0"/>
        <v>5.7255045516102943E-2</v>
      </c>
    </row>
    <row r="73" spans="1:12">
      <c r="A73" s="76" t="s">
        <v>162</v>
      </c>
      <c r="B73" s="76">
        <v>4</v>
      </c>
      <c r="C73" s="77">
        <v>1.4653974739790023</v>
      </c>
      <c r="D73" s="78">
        <f t="shared" si="1"/>
        <v>7.7232852896709697E-2</v>
      </c>
      <c r="E73" s="78">
        <v>0.78907615390635699</v>
      </c>
      <c r="F73" s="78">
        <v>0.28713169955029821</v>
      </c>
      <c r="G73" s="79">
        <f t="shared" si="2"/>
        <v>3.1600000000000003E-2</v>
      </c>
      <c r="H73" s="80">
        <v>0.19337263634372492</v>
      </c>
      <c r="I73" s="78">
        <f t="shared" si="3"/>
        <v>2.3068000000000002E-2</v>
      </c>
      <c r="J73" s="79">
        <f t="shared" si="4"/>
        <v>0.21092384609364301</v>
      </c>
      <c r="K73" s="81">
        <f t="shared" si="5"/>
        <v>6.5808193800639292E-2</v>
      </c>
      <c r="L73" s="78">
        <f t="shared" si="0"/>
        <v>6.5808193800639181E-2</v>
      </c>
    </row>
    <row r="74" spans="1:12">
      <c r="A74" s="76" t="s">
        <v>163</v>
      </c>
      <c r="B74" s="76">
        <v>183</v>
      </c>
      <c r="C74" s="77">
        <v>1.3197265447114099</v>
      </c>
      <c r="D74" s="78">
        <f t="shared" si="1"/>
        <v>7.105640549576378E-2</v>
      </c>
      <c r="E74" s="78">
        <v>0.76262256699927478</v>
      </c>
      <c r="F74" s="78">
        <v>0.55475619593509207</v>
      </c>
      <c r="G74" s="79">
        <f t="shared" si="2"/>
        <v>3.5780000000000006E-2</v>
      </c>
      <c r="H74" s="80">
        <v>2.0397972718181213E-2</v>
      </c>
      <c r="I74" s="78">
        <f t="shared" si="3"/>
        <v>2.6119400000000004E-2</v>
      </c>
      <c r="J74" s="79">
        <f t="shared" si="4"/>
        <v>0.23737743300072522</v>
      </c>
      <c r="K74" s="81">
        <f t="shared" si="5"/>
        <v>6.0389374484439894E-2</v>
      </c>
      <c r="L74" s="78">
        <f t="shared" si="0"/>
        <v>6.0389374484439928E-2</v>
      </c>
    </row>
    <row r="75" spans="1:12">
      <c r="A75" s="76" t="s">
        <v>164</v>
      </c>
      <c r="B75" s="76">
        <v>21</v>
      </c>
      <c r="C75" s="77">
        <v>1.3956242779823214</v>
      </c>
      <c r="D75" s="78">
        <f t="shared" si="1"/>
        <v>7.4274469386450423E-2</v>
      </c>
      <c r="E75" s="78">
        <v>0.53431323787680662</v>
      </c>
      <c r="F75" s="78">
        <v>0.44980453975922519</v>
      </c>
      <c r="G75" s="79">
        <f t="shared" si="2"/>
        <v>3.5780000000000006E-2</v>
      </c>
      <c r="H75" s="80">
        <v>9.7598759454309292E-2</v>
      </c>
      <c r="I75" s="78">
        <f t="shared" si="3"/>
        <v>2.6119400000000004E-2</v>
      </c>
      <c r="J75" s="79">
        <f t="shared" si="4"/>
        <v>0.46568676212319338</v>
      </c>
      <c r="K75" s="81">
        <f t="shared" si="5"/>
        <v>5.1849291044056611E-2</v>
      </c>
      <c r="L75" s="78">
        <f t="shared" si="0"/>
        <v>5.1849291044056667E-2</v>
      </c>
    </row>
    <row r="76" spans="1:12">
      <c r="A76" s="76" t="s">
        <v>165</v>
      </c>
      <c r="B76" s="76">
        <v>100</v>
      </c>
      <c r="C76" s="77">
        <v>1.495800528896629</v>
      </c>
      <c r="D76" s="78">
        <f t="shared" si="1"/>
        <v>7.8521942425217067E-2</v>
      </c>
      <c r="E76" s="78">
        <v>0.6488162879331788</v>
      </c>
      <c r="F76" s="78">
        <v>0.49634640471939451</v>
      </c>
      <c r="G76" s="79">
        <f t="shared" si="2"/>
        <v>3.5780000000000006E-2</v>
      </c>
      <c r="H76" s="80">
        <v>3.8890897214253782E-2</v>
      </c>
      <c r="I76" s="78">
        <f t="shared" si="3"/>
        <v>2.6119400000000004E-2</v>
      </c>
      <c r="J76" s="79">
        <f t="shared" si="4"/>
        <v>0.3511837120668212</v>
      </c>
      <c r="K76" s="81">
        <f t="shared" si="5"/>
        <v>6.0119023054590257E-2</v>
      </c>
      <c r="L76" s="78">
        <f t="shared" si="0"/>
        <v>6.011902305459027E-2</v>
      </c>
    </row>
    <row r="77" spans="1:12">
      <c r="A77" s="76" t="s">
        <v>166</v>
      </c>
      <c r="B77" s="76">
        <v>26</v>
      </c>
      <c r="C77" s="77">
        <v>1.0097052308922077</v>
      </c>
      <c r="D77" s="78">
        <f t="shared" si="1"/>
        <v>5.7911501789829609E-2</v>
      </c>
      <c r="E77" s="78">
        <v>0.66806997674465096</v>
      </c>
      <c r="F77" s="78">
        <v>0.26384174426916995</v>
      </c>
      <c r="G77" s="79">
        <f t="shared" si="2"/>
        <v>3.1600000000000003E-2</v>
      </c>
      <c r="H77" s="80">
        <v>0.17094834179847168</v>
      </c>
      <c r="I77" s="78">
        <f t="shared" si="3"/>
        <v>2.3068000000000002E-2</v>
      </c>
      <c r="J77" s="79">
        <f t="shared" si="4"/>
        <v>0.33193002325534904</v>
      </c>
      <c r="K77" s="81">
        <f t="shared" si="5"/>
        <v>4.6345897430433672E-2</v>
      </c>
      <c r="L77" s="78">
        <f t="shared" si="0"/>
        <v>4.6345897430433602E-2</v>
      </c>
    </row>
    <row r="78" spans="1:12">
      <c r="A78" s="76" t="s">
        <v>167</v>
      </c>
      <c r="B78" s="76">
        <v>11</v>
      </c>
      <c r="C78" s="77">
        <v>1.2135156840120447</v>
      </c>
      <c r="D78" s="78">
        <f t="shared" si="1"/>
        <v>6.6553065002110695E-2</v>
      </c>
      <c r="E78" s="78">
        <v>0.70759879316082541</v>
      </c>
      <c r="F78" s="78">
        <v>0.3060750308260442</v>
      </c>
      <c r="G78" s="79">
        <f t="shared" si="2"/>
        <v>3.1600000000000003E-2</v>
      </c>
      <c r="H78" s="80">
        <v>0.12009597461534449</v>
      </c>
      <c r="I78" s="78">
        <f t="shared" si="3"/>
        <v>2.3068000000000002E-2</v>
      </c>
      <c r="J78" s="79">
        <f t="shared" si="4"/>
        <v>0.29240120683917459</v>
      </c>
      <c r="K78" s="81">
        <f t="shared" si="5"/>
        <v>5.3837979516013573E-2</v>
      </c>
      <c r="L78" s="78">
        <f t="shared" si="0"/>
        <v>5.3837979516013545E-2</v>
      </c>
    </row>
    <row r="79" spans="1:12">
      <c r="A79" s="76" t="s">
        <v>168</v>
      </c>
      <c r="B79" s="76">
        <v>50</v>
      </c>
      <c r="C79" s="77">
        <v>0.83307251944889882</v>
      </c>
      <c r="D79" s="78">
        <f t="shared" si="1"/>
        <v>5.0422274824633309E-2</v>
      </c>
      <c r="E79" s="78">
        <v>0.58296827577988142</v>
      </c>
      <c r="F79" s="78">
        <v>0.19494311438548956</v>
      </c>
      <c r="G79" s="79">
        <f t="shared" si="2"/>
        <v>2.5000000000000001E-2</v>
      </c>
      <c r="H79" s="80">
        <v>0.15612686946193011</v>
      </c>
      <c r="I79" s="78">
        <f t="shared" si="3"/>
        <v>1.8249999999999999E-2</v>
      </c>
      <c r="J79" s="79">
        <f t="shared" si="4"/>
        <v>0.41703172422011858</v>
      </c>
      <c r="K79" s="81">
        <f t="shared" si="5"/>
        <v>3.7005415582432963E-2</v>
      </c>
      <c r="L79" s="78">
        <f t="shared" si="0"/>
        <v>3.7005415582432866E-2</v>
      </c>
    </row>
    <row r="80" spans="1:12">
      <c r="A80" s="76" t="s">
        <v>169</v>
      </c>
      <c r="B80" s="76">
        <v>76</v>
      </c>
      <c r="C80" s="77">
        <v>0.98945219191732581</v>
      </c>
      <c r="D80" s="78">
        <f t="shared" si="1"/>
        <v>5.7052772937294619E-2</v>
      </c>
      <c r="E80" s="78">
        <v>0.89279575283079826</v>
      </c>
      <c r="F80" s="78">
        <v>0.56288380171731567</v>
      </c>
      <c r="G80" s="79">
        <f t="shared" si="2"/>
        <v>3.5780000000000006E-2</v>
      </c>
      <c r="H80" s="80">
        <v>3.1077207195816612E-2</v>
      </c>
      <c r="I80" s="78">
        <f t="shared" si="3"/>
        <v>2.6119400000000004E-2</v>
      </c>
      <c r="J80" s="79">
        <f t="shared" si="4"/>
        <v>0.10720424716920174</v>
      </c>
      <c r="K80" s="81">
        <f t="shared" si="5"/>
        <v>5.3736583979147795E-2</v>
      </c>
      <c r="L80" s="78">
        <f t="shared" si="0"/>
        <v>5.3736583979147712E-2</v>
      </c>
    </row>
    <row r="81" spans="1:12">
      <c r="A81" s="76" t="s">
        <v>170</v>
      </c>
      <c r="B81" s="76">
        <v>21</v>
      </c>
      <c r="C81" s="77">
        <v>1.6937211681264039</v>
      </c>
      <c r="D81" s="78">
        <f t="shared" si="1"/>
        <v>8.6913777528559527E-2</v>
      </c>
      <c r="E81" s="78">
        <v>0.73095892346104241</v>
      </c>
      <c r="F81" s="78">
        <v>0.30800241644332438</v>
      </c>
      <c r="G81" s="79">
        <f t="shared" si="2"/>
        <v>3.1600000000000003E-2</v>
      </c>
      <c r="H81" s="80">
        <v>0.11637806694296418</v>
      </c>
      <c r="I81" s="78">
        <f t="shared" si="3"/>
        <v>2.3068000000000002E-2</v>
      </c>
      <c r="J81" s="79">
        <f t="shared" si="4"/>
        <v>0.26904107653895759</v>
      </c>
      <c r="K81" s="81">
        <f t="shared" si="5"/>
        <v>6.9736640809809097E-2</v>
      </c>
      <c r="L81" s="78">
        <f t="shared" si="0"/>
        <v>6.9736640809809014E-2</v>
      </c>
    </row>
    <row r="82" spans="1:12">
      <c r="A82" s="76" t="s">
        <v>171</v>
      </c>
      <c r="B82" s="76">
        <v>238</v>
      </c>
      <c r="C82" s="77">
        <v>1.3487431776038159</v>
      </c>
      <c r="D82" s="78">
        <f t="shared" si="1"/>
        <v>7.2286710730401799E-2</v>
      </c>
      <c r="E82" s="78">
        <v>0.65019694075946455</v>
      </c>
      <c r="F82" s="78">
        <v>0.3264730533309092</v>
      </c>
      <c r="G82" s="79">
        <f t="shared" si="2"/>
        <v>3.1600000000000003E-2</v>
      </c>
      <c r="H82" s="80">
        <v>1.9423738108976907E-2</v>
      </c>
      <c r="I82" s="78">
        <f t="shared" si="3"/>
        <v>2.3068000000000002E-2</v>
      </c>
      <c r="J82" s="79">
        <f t="shared" si="4"/>
        <v>0.34980305924053545</v>
      </c>
      <c r="K82" s="81">
        <f t="shared" si="5"/>
        <v>5.5069855145032279E-2</v>
      </c>
      <c r="L82" s="78">
        <f t="shared" si="0"/>
        <v>5.5069855145032376E-2</v>
      </c>
    </row>
    <row r="83" spans="1:12">
      <c r="A83" s="76" t="s">
        <v>172</v>
      </c>
      <c r="B83" s="76">
        <v>19</v>
      </c>
      <c r="C83" s="77">
        <v>1.0625427746169613</v>
      </c>
      <c r="D83" s="78">
        <f t="shared" si="1"/>
        <v>6.0151813643759162E-2</v>
      </c>
      <c r="E83" s="78">
        <v>0.55574608535443293</v>
      </c>
      <c r="F83" s="78">
        <v>0.5132233183429773</v>
      </c>
      <c r="G83" s="79">
        <f t="shared" si="2"/>
        <v>3.5780000000000006E-2</v>
      </c>
      <c r="H83" s="80">
        <v>2.6046233245563218E-2</v>
      </c>
      <c r="I83" s="78">
        <f t="shared" si="3"/>
        <v>2.6119400000000004E-2</v>
      </c>
      <c r="J83" s="79">
        <f t="shared" si="4"/>
        <v>0.44425391464556707</v>
      </c>
      <c r="K83" s="81">
        <f t="shared" si="5"/>
        <v>4.5032780657681945E-2</v>
      </c>
      <c r="L83" s="78">
        <f t="shared" si="0"/>
        <v>4.5032780657682014E-2</v>
      </c>
    </row>
    <row r="84" spans="1:12">
      <c r="A84" s="76" t="s">
        <v>173</v>
      </c>
      <c r="B84" s="76">
        <v>10</v>
      </c>
      <c r="C84" s="77">
        <v>0.90643693715530971</v>
      </c>
      <c r="D84" s="78">
        <f t="shared" si="1"/>
        <v>5.3532926135385135E-2</v>
      </c>
      <c r="E84" s="78">
        <v>0.79109669593947574</v>
      </c>
      <c r="F84" s="78">
        <v>0.30698705855207647</v>
      </c>
      <c r="G84" s="79">
        <f t="shared" si="2"/>
        <v>3.1600000000000003E-2</v>
      </c>
      <c r="H84" s="80">
        <v>9.9355355740756157E-2</v>
      </c>
      <c r="I84" s="78">
        <f t="shared" si="3"/>
        <v>2.3068000000000002E-2</v>
      </c>
      <c r="J84" s="79">
        <f t="shared" si="4"/>
        <v>0.20890330406052426</v>
      </c>
      <c r="K84" s="81">
        <f t="shared" si="5"/>
        <v>4.716870240774336E-2</v>
      </c>
      <c r="L84" s="78">
        <f t="shared" ref="L84:L115" si="6">(1+K84)*((1+$C$16)/(1+$C$17))-1</f>
        <v>4.7168702407743401E-2</v>
      </c>
    </row>
    <row r="85" spans="1:12">
      <c r="A85" s="76" t="s">
        <v>174</v>
      </c>
      <c r="B85" s="76">
        <v>51</v>
      </c>
      <c r="C85" s="77">
        <v>1.1453386880064795</v>
      </c>
      <c r="D85" s="78">
        <f t="shared" ref="D85:D115" si="7">$D$9+C85*$D$10</f>
        <v>6.3662360371474727E-2</v>
      </c>
      <c r="E85" s="78">
        <v>0.63953075645476232</v>
      </c>
      <c r="F85" s="78">
        <v>0.41428632688431055</v>
      </c>
      <c r="G85" s="79">
        <f t="shared" ref="G85:G115" si="8">$D$9+VLOOKUP(F85,$G$10:$I$16,3)+$D$11</f>
        <v>3.5780000000000006E-2</v>
      </c>
      <c r="H85" s="80">
        <v>6.5377917871521002E-2</v>
      </c>
      <c r="I85" s="78">
        <f t="shared" ref="I85:I115" si="9">IF($F$12="Yes",G85*(1-$F$13),G85*(1-H85))</f>
        <v>2.6119400000000004E-2</v>
      </c>
      <c r="J85" s="79">
        <f t="shared" ref="J85:J115" si="10">1-E85</f>
        <v>0.36046924354523768</v>
      </c>
      <c r="K85" s="81">
        <f t="shared" ref="K85:K115" si="11">D85*(1-J85)+I85*J85</f>
        <v>5.0129277845920403E-2</v>
      </c>
      <c r="L85" s="78">
        <f t="shared" si="6"/>
        <v>5.0129277845920361E-2</v>
      </c>
    </row>
    <row r="86" spans="1:12">
      <c r="A86" s="76" t="s">
        <v>175</v>
      </c>
      <c r="B86" s="76">
        <v>60</v>
      </c>
      <c r="C86" s="77">
        <v>1.2275901387348778</v>
      </c>
      <c r="D86" s="78">
        <f t="shared" si="7"/>
        <v>6.7149821882358823E-2</v>
      </c>
      <c r="E86" s="78">
        <v>0.77173158371554729</v>
      </c>
      <c r="F86" s="78">
        <v>0.50354590966110735</v>
      </c>
      <c r="G86" s="79">
        <f t="shared" si="8"/>
        <v>3.5780000000000006E-2</v>
      </c>
      <c r="H86" s="80">
        <v>7.7527837364419802E-2</v>
      </c>
      <c r="I86" s="78">
        <f t="shared" si="9"/>
        <v>2.6119400000000004E-2</v>
      </c>
      <c r="J86" s="79">
        <f t="shared" si="10"/>
        <v>0.22826841628445271</v>
      </c>
      <c r="K86" s="81">
        <f t="shared" si="11"/>
        <v>5.7783872459789824E-2</v>
      </c>
      <c r="L86" s="78">
        <f t="shared" si="6"/>
        <v>5.7783872459789887E-2</v>
      </c>
    </row>
    <row r="87" spans="1:12">
      <c r="A87" s="76" t="s">
        <v>176</v>
      </c>
      <c r="B87" s="76">
        <v>2</v>
      </c>
      <c r="C87" s="77">
        <v>1.3712668800409711</v>
      </c>
      <c r="D87" s="78">
        <f t="shared" si="7"/>
        <v>7.3241715713737179E-2</v>
      </c>
      <c r="E87" s="78">
        <v>0.720202761149356</v>
      </c>
      <c r="F87" s="78">
        <v>0.25945507184238659</v>
      </c>
      <c r="G87" s="79">
        <f t="shared" si="8"/>
        <v>3.1600000000000003E-2</v>
      </c>
      <c r="H87" s="80">
        <v>0.22964484800606366</v>
      </c>
      <c r="I87" s="78">
        <f t="shared" si="9"/>
        <v>2.3068000000000002E-2</v>
      </c>
      <c r="J87" s="79">
        <f t="shared" si="10"/>
        <v>0.279797238850644</v>
      </c>
      <c r="K87" s="81">
        <f t="shared" si="11"/>
        <v>5.9203248594156349E-2</v>
      </c>
      <c r="L87" s="78">
        <f t="shared" si="6"/>
        <v>5.9203248594156266E-2</v>
      </c>
    </row>
    <row r="88" spans="1:12">
      <c r="A88" s="76" t="s">
        <v>177</v>
      </c>
      <c r="B88" s="76">
        <v>70</v>
      </c>
      <c r="C88" s="77">
        <v>1.5573890728698849</v>
      </c>
      <c r="D88" s="78">
        <f t="shared" si="7"/>
        <v>8.1133296689683124E-2</v>
      </c>
      <c r="E88" s="78">
        <v>0.78525812130601125</v>
      </c>
      <c r="F88" s="78">
        <v>0.42757651363003341</v>
      </c>
      <c r="G88" s="79">
        <f t="shared" si="8"/>
        <v>3.5780000000000006E-2</v>
      </c>
      <c r="H88" s="80">
        <v>7.1063431806450875E-2</v>
      </c>
      <c r="I88" s="78">
        <f t="shared" si="9"/>
        <v>2.6119400000000004E-2</v>
      </c>
      <c r="J88" s="79">
        <f t="shared" si="10"/>
        <v>0.21474187869398875</v>
      </c>
      <c r="K88" s="81">
        <f t="shared" si="11"/>
        <v>6.9319509160263568E-2</v>
      </c>
      <c r="L88" s="78">
        <f t="shared" si="6"/>
        <v>6.9319509160263637E-2</v>
      </c>
    </row>
    <row r="89" spans="1:12">
      <c r="A89" s="76" t="s">
        <v>178</v>
      </c>
      <c r="B89" s="76">
        <v>32</v>
      </c>
      <c r="C89" s="77">
        <v>1.3980328627998966</v>
      </c>
      <c r="D89" s="78">
        <f t="shared" si="7"/>
        <v>7.4376593382715614E-2</v>
      </c>
      <c r="E89" s="78">
        <v>0.72148857321238369</v>
      </c>
      <c r="F89" s="78">
        <v>0.44491963485055586</v>
      </c>
      <c r="G89" s="79">
        <f t="shared" si="8"/>
        <v>3.5780000000000006E-2</v>
      </c>
      <c r="H89" s="80">
        <v>0.14201758328986852</v>
      </c>
      <c r="I89" s="78">
        <f t="shared" si="9"/>
        <v>2.6119400000000004E-2</v>
      </c>
      <c r="J89" s="79">
        <f t="shared" si="10"/>
        <v>0.27851142678761631</v>
      </c>
      <c r="K89" s="81">
        <f t="shared" si="11"/>
        <v>6.0936413600929579E-2</v>
      </c>
      <c r="L89" s="78">
        <f t="shared" si="6"/>
        <v>6.0936413600929606E-2</v>
      </c>
    </row>
    <row r="90" spans="1:12">
      <c r="A90" s="76" t="s">
        <v>179</v>
      </c>
      <c r="B90" s="76">
        <v>16</v>
      </c>
      <c r="C90" s="77">
        <v>1.5246316572138299</v>
      </c>
      <c r="D90" s="78">
        <f t="shared" si="7"/>
        <v>7.9744382265866387E-2</v>
      </c>
      <c r="E90" s="78">
        <v>0.88149349993635773</v>
      </c>
      <c r="F90" s="78">
        <v>0.44734618546240157</v>
      </c>
      <c r="G90" s="79">
        <f t="shared" si="8"/>
        <v>3.5780000000000006E-2</v>
      </c>
      <c r="H90" s="80">
        <v>0.15504069060485154</v>
      </c>
      <c r="I90" s="78">
        <f t="shared" si="9"/>
        <v>2.6119400000000004E-2</v>
      </c>
      <c r="J90" s="79">
        <f t="shared" si="10"/>
        <v>0.11850650006364227</v>
      </c>
      <c r="K90" s="81">
        <f t="shared" si="11"/>
        <v>7.3389473301563687E-2</v>
      </c>
      <c r="L90" s="78">
        <f t="shared" si="6"/>
        <v>7.3389473301563646E-2</v>
      </c>
    </row>
    <row r="91" spans="1:12">
      <c r="A91" s="76" t="s">
        <v>180</v>
      </c>
      <c r="B91" s="76">
        <v>68</v>
      </c>
      <c r="C91" s="77">
        <v>1.2810765889685047</v>
      </c>
      <c r="D91" s="78">
        <f t="shared" si="7"/>
        <v>6.9417647372264593E-2</v>
      </c>
      <c r="E91" s="78">
        <v>0.75539779430737841</v>
      </c>
      <c r="F91" s="78">
        <v>0.43101350078053768</v>
      </c>
      <c r="G91" s="79">
        <f t="shared" si="8"/>
        <v>3.5780000000000006E-2</v>
      </c>
      <c r="H91" s="80">
        <v>0.11697794257848181</v>
      </c>
      <c r="I91" s="78">
        <f t="shared" si="9"/>
        <v>2.6119400000000004E-2</v>
      </c>
      <c r="J91" s="79">
        <f t="shared" si="10"/>
        <v>0.24460220569262159</v>
      </c>
      <c r="K91" s="81">
        <f t="shared" si="11"/>
        <v>5.8826800562383916E-2</v>
      </c>
      <c r="L91" s="78">
        <f t="shared" si="6"/>
        <v>5.8826800562383985E-2</v>
      </c>
    </row>
    <row r="92" spans="1:12">
      <c r="A92" s="76" t="s">
        <v>181</v>
      </c>
      <c r="B92" s="76">
        <v>16</v>
      </c>
      <c r="C92" s="77">
        <v>1.1155492841734074</v>
      </c>
      <c r="D92" s="78">
        <f t="shared" si="7"/>
        <v>6.2399289648952472E-2</v>
      </c>
      <c r="E92" s="78">
        <v>0.86172941149155746</v>
      </c>
      <c r="F92" s="78">
        <v>0.33881707698287428</v>
      </c>
      <c r="G92" s="79">
        <f t="shared" si="8"/>
        <v>3.1600000000000003E-2</v>
      </c>
      <c r="H92" s="80">
        <v>0.18446535828310928</v>
      </c>
      <c r="I92" s="78">
        <f t="shared" si="9"/>
        <v>2.3068000000000002E-2</v>
      </c>
      <c r="J92" s="79">
        <f t="shared" si="10"/>
        <v>0.13827058850844254</v>
      </c>
      <c r="K92" s="81">
        <f t="shared" si="11"/>
        <v>5.6960929082395799E-2</v>
      </c>
      <c r="L92" s="78">
        <f t="shared" si="6"/>
        <v>5.6960929082395806E-2</v>
      </c>
    </row>
    <row r="93" spans="1:12">
      <c r="A93" s="76" t="s">
        <v>182</v>
      </c>
      <c r="B93" s="76">
        <v>15</v>
      </c>
      <c r="C93" s="77">
        <v>0.29967567113248184</v>
      </c>
      <c r="D93" s="78">
        <f t="shared" si="7"/>
        <v>2.780624845601723E-2</v>
      </c>
      <c r="E93" s="78">
        <v>0.59437473883036018</v>
      </c>
      <c r="F93" s="78">
        <v>0.34269086272021693</v>
      </c>
      <c r="G93" s="79">
        <f t="shared" si="8"/>
        <v>3.1600000000000003E-2</v>
      </c>
      <c r="H93" s="80">
        <v>0.13305899379117914</v>
      </c>
      <c r="I93" s="78">
        <f t="shared" si="9"/>
        <v>2.3068000000000002E-2</v>
      </c>
      <c r="J93" s="79">
        <f t="shared" si="10"/>
        <v>0.40562526116963982</v>
      </c>
      <c r="K93" s="81">
        <f t="shared" si="11"/>
        <v>2.5884295188558597E-2</v>
      </c>
      <c r="L93" s="78">
        <f t="shared" si="6"/>
        <v>2.5884295188558504E-2</v>
      </c>
    </row>
    <row r="94" spans="1:12">
      <c r="A94" s="76" t="s">
        <v>183</v>
      </c>
      <c r="B94" s="76">
        <v>60</v>
      </c>
      <c r="C94" s="77">
        <v>1.1038085146753778</v>
      </c>
      <c r="D94" s="78">
        <f t="shared" si="7"/>
        <v>6.190148102223602E-2</v>
      </c>
      <c r="E94" s="78">
        <v>0.92456578215504359</v>
      </c>
      <c r="F94" s="78">
        <v>0.58817664787562396</v>
      </c>
      <c r="G94" s="79">
        <f t="shared" si="8"/>
        <v>3.5780000000000006E-2</v>
      </c>
      <c r="H94" s="80">
        <v>4.7596026123917869E-2</v>
      </c>
      <c r="I94" s="78">
        <f t="shared" si="9"/>
        <v>2.6119400000000004E-2</v>
      </c>
      <c r="J94" s="79">
        <f t="shared" si="10"/>
        <v>7.5434217844956408E-2</v>
      </c>
      <c r="K94" s="81">
        <f t="shared" si="11"/>
        <v>5.9202287727458787E-2</v>
      </c>
      <c r="L94" s="78">
        <f t="shared" si="6"/>
        <v>5.9202287727458724E-2</v>
      </c>
    </row>
    <row r="95" spans="1:12">
      <c r="A95" s="76" t="s">
        <v>184</v>
      </c>
      <c r="B95" s="76">
        <v>76</v>
      </c>
      <c r="C95" s="77">
        <v>1.4433927807361351</v>
      </c>
      <c r="D95" s="78">
        <f t="shared" si="7"/>
        <v>7.6299853903212131E-2</v>
      </c>
      <c r="E95" s="78">
        <v>0.74208941188628552</v>
      </c>
      <c r="F95" s="78">
        <v>0.45572346106389527</v>
      </c>
      <c r="G95" s="79">
        <f t="shared" si="8"/>
        <v>3.5780000000000006E-2</v>
      </c>
      <c r="H95" s="80">
        <v>0.14674961018594415</v>
      </c>
      <c r="I95" s="78">
        <f t="shared" si="9"/>
        <v>2.6119400000000004E-2</v>
      </c>
      <c r="J95" s="79">
        <f t="shared" si="10"/>
        <v>0.25791058811371448</v>
      </c>
      <c r="K95" s="81">
        <f t="shared" si="11"/>
        <v>6.3357783525221548E-2</v>
      </c>
      <c r="L95" s="78">
        <f t="shared" si="6"/>
        <v>6.3357783525221478E-2</v>
      </c>
    </row>
    <row r="96" spans="1:12">
      <c r="A96" s="76" t="s">
        <v>185</v>
      </c>
      <c r="B96" s="76">
        <v>2</v>
      </c>
      <c r="C96" s="77">
        <v>1.1565055181846227</v>
      </c>
      <c r="D96" s="78">
        <f t="shared" si="7"/>
        <v>6.4135833971027997E-2</v>
      </c>
      <c r="E96" s="78">
        <v>0.39284396646857678</v>
      </c>
      <c r="F96" s="78">
        <v>0.47055042286877913</v>
      </c>
      <c r="G96" s="79">
        <f t="shared" si="8"/>
        <v>3.5780000000000006E-2</v>
      </c>
      <c r="H96" s="80">
        <v>0.17415730337078653</v>
      </c>
      <c r="I96" s="78">
        <f t="shared" si="9"/>
        <v>2.6119400000000004E-2</v>
      </c>
      <c r="J96" s="79">
        <f t="shared" si="10"/>
        <v>0.60715603353142322</v>
      </c>
      <c r="K96" s="81">
        <f t="shared" si="11"/>
        <v>4.1053926712169383E-2</v>
      </c>
      <c r="L96" s="78">
        <f t="shared" si="6"/>
        <v>4.1053926712169453E-2</v>
      </c>
    </row>
    <row r="97" spans="1:12">
      <c r="A97" s="76" t="s">
        <v>186</v>
      </c>
      <c r="B97" s="76">
        <v>67</v>
      </c>
      <c r="C97" s="77">
        <v>1.1624544797886844</v>
      </c>
      <c r="D97" s="78">
        <f t="shared" si="7"/>
        <v>6.4388069943040221E-2</v>
      </c>
      <c r="E97" s="78">
        <v>0.93653366892655554</v>
      </c>
      <c r="F97" s="78">
        <v>0.37456362089820239</v>
      </c>
      <c r="G97" s="79">
        <f t="shared" si="8"/>
        <v>3.1600000000000003E-2</v>
      </c>
      <c r="H97" s="80">
        <v>6.8004294378812391E-2</v>
      </c>
      <c r="I97" s="78">
        <f t="shared" si="9"/>
        <v>2.3068000000000002E-2</v>
      </c>
      <c r="J97" s="79">
        <f t="shared" si="10"/>
        <v>6.346633107344446E-2</v>
      </c>
      <c r="K97" s="81">
        <f t="shared" si="11"/>
        <v>6.1765636704057353E-2</v>
      </c>
      <c r="L97" s="78">
        <f t="shared" si="6"/>
        <v>6.1765636704057325E-2</v>
      </c>
    </row>
    <row r="98" spans="1:12">
      <c r="A98" s="76" t="s">
        <v>187</v>
      </c>
      <c r="B98" s="76">
        <v>34</v>
      </c>
      <c r="C98" s="77">
        <v>1.3390383903586967</v>
      </c>
      <c r="D98" s="78">
        <f t="shared" si="7"/>
        <v>7.1875227751208734E-2</v>
      </c>
      <c r="E98" s="78">
        <v>0.95202177935983456</v>
      </c>
      <c r="F98" s="78">
        <v>0.33222794123720689</v>
      </c>
      <c r="G98" s="79">
        <f t="shared" si="8"/>
        <v>3.1600000000000003E-2</v>
      </c>
      <c r="H98" s="80">
        <v>9.1891386408625431E-2</v>
      </c>
      <c r="I98" s="78">
        <f t="shared" si="9"/>
        <v>2.3068000000000002E-2</v>
      </c>
      <c r="J98" s="79">
        <f t="shared" si="10"/>
        <v>4.7978220640165437E-2</v>
      </c>
      <c r="K98" s="81">
        <f t="shared" si="11"/>
        <v>6.9533543809326442E-2</v>
      </c>
      <c r="L98" s="78">
        <f t="shared" si="6"/>
        <v>6.9533543809326526E-2</v>
      </c>
    </row>
    <row r="99" spans="1:12">
      <c r="A99" s="76" t="s">
        <v>188</v>
      </c>
      <c r="B99" s="76">
        <v>8</v>
      </c>
      <c r="C99" s="77">
        <v>0.99109853928181657</v>
      </c>
      <c r="D99" s="78">
        <f t="shared" si="7"/>
        <v>5.7122578065549025E-2</v>
      </c>
      <c r="E99" s="78">
        <v>0.7248271310111567</v>
      </c>
      <c r="F99" s="78">
        <v>0.51037332437897842</v>
      </c>
      <c r="G99" s="79">
        <f t="shared" si="8"/>
        <v>3.5780000000000006E-2</v>
      </c>
      <c r="H99" s="80">
        <v>3.1915366664873338E-2</v>
      </c>
      <c r="I99" s="78">
        <f t="shared" si="9"/>
        <v>2.6119400000000004E-2</v>
      </c>
      <c r="J99" s="79">
        <f t="shared" si="10"/>
        <v>0.2751728689888433</v>
      </c>
      <c r="K99" s="81">
        <f t="shared" si="11"/>
        <v>4.859134460947992E-2</v>
      </c>
      <c r="L99" s="78">
        <f t="shared" si="6"/>
        <v>4.8591344609479892E-2</v>
      </c>
    </row>
    <row r="100" spans="1:12">
      <c r="A100" s="76" t="s">
        <v>189</v>
      </c>
      <c r="B100" s="76">
        <v>12</v>
      </c>
      <c r="C100" s="77">
        <v>1.1858211455148611</v>
      </c>
      <c r="D100" s="78">
        <f t="shared" si="7"/>
        <v>6.5378816569830106E-2</v>
      </c>
      <c r="E100" s="78">
        <v>0.9453870871879414</v>
      </c>
      <c r="F100" s="78">
        <v>0.34714879795280845</v>
      </c>
      <c r="G100" s="79">
        <f t="shared" si="8"/>
        <v>3.1600000000000003E-2</v>
      </c>
      <c r="H100" s="80">
        <v>9.8596226529694311E-2</v>
      </c>
      <c r="I100" s="78">
        <f t="shared" si="9"/>
        <v>2.3068000000000002E-2</v>
      </c>
      <c r="J100" s="79">
        <f t="shared" si="10"/>
        <v>5.46129128120586E-2</v>
      </c>
      <c r="K100" s="81">
        <f t="shared" si="11"/>
        <v>6.3068099633494967E-2</v>
      </c>
      <c r="L100" s="78">
        <f t="shared" si="6"/>
        <v>6.3068099633494912E-2</v>
      </c>
    </row>
    <row r="101" spans="1:12">
      <c r="A101" s="76" t="s">
        <v>190</v>
      </c>
      <c r="B101" s="76">
        <v>88</v>
      </c>
      <c r="C101" s="77">
        <v>1.2040179086600062</v>
      </c>
      <c r="D101" s="78">
        <f t="shared" si="7"/>
        <v>6.6150359327184258E-2</v>
      </c>
      <c r="E101" s="78">
        <v>0.98002054088953161</v>
      </c>
      <c r="F101" s="78">
        <v>0.54605972958610682</v>
      </c>
      <c r="G101" s="79">
        <f t="shared" si="8"/>
        <v>3.5780000000000006E-2</v>
      </c>
      <c r="H101" s="80">
        <v>2.2147461992311154E-2</v>
      </c>
      <c r="I101" s="78">
        <f t="shared" si="9"/>
        <v>2.6119400000000004E-2</v>
      </c>
      <c r="J101" s="79">
        <f t="shared" si="10"/>
        <v>1.9979459110468389E-2</v>
      </c>
      <c r="K101" s="81">
        <f t="shared" si="11"/>
        <v>6.5350562412153965E-2</v>
      </c>
      <c r="L101" s="78">
        <f t="shared" si="6"/>
        <v>6.5350562412153979E-2</v>
      </c>
    </row>
    <row r="102" spans="1:12">
      <c r="A102" s="76" t="s">
        <v>191</v>
      </c>
      <c r="B102" s="76">
        <v>36</v>
      </c>
      <c r="C102" s="77">
        <v>1.0043796741354865</v>
      </c>
      <c r="D102" s="78">
        <f t="shared" si="7"/>
        <v>5.7685698183344632E-2</v>
      </c>
      <c r="E102" s="78">
        <v>0.92872301371978139</v>
      </c>
      <c r="F102" s="78">
        <v>0.38093997694500725</v>
      </c>
      <c r="G102" s="79">
        <f t="shared" si="8"/>
        <v>3.1600000000000003E-2</v>
      </c>
      <c r="H102" s="80">
        <v>1.2934552181830088E-2</v>
      </c>
      <c r="I102" s="78">
        <f t="shared" si="9"/>
        <v>2.3068000000000002E-2</v>
      </c>
      <c r="J102" s="79">
        <f t="shared" si="10"/>
        <v>7.1276986280218613E-2</v>
      </c>
      <c r="K102" s="81">
        <f t="shared" si="11"/>
        <v>5.5218252984877626E-2</v>
      </c>
      <c r="L102" s="78">
        <f t="shared" si="6"/>
        <v>5.5218252984877703E-2</v>
      </c>
    </row>
    <row r="103" spans="1:12">
      <c r="A103" s="76" t="s">
        <v>192</v>
      </c>
      <c r="B103" s="76">
        <v>375</v>
      </c>
      <c r="C103" s="77">
        <v>1.1414617043012938</v>
      </c>
      <c r="D103" s="78">
        <f t="shared" si="7"/>
        <v>6.3497976262374856E-2</v>
      </c>
      <c r="E103" s="78">
        <v>0.94626851711039672</v>
      </c>
      <c r="F103" s="78">
        <v>0.45739896259792873</v>
      </c>
      <c r="G103" s="79">
        <f t="shared" si="8"/>
        <v>3.5780000000000006E-2</v>
      </c>
      <c r="H103" s="80">
        <v>3.3602921108159101E-2</v>
      </c>
      <c r="I103" s="78">
        <f t="shared" si="9"/>
        <v>2.6119400000000004E-2</v>
      </c>
      <c r="J103" s="79">
        <f t="shared" si="10"/>
        <v>5.3731482889603277E-2</v>
      </c>
      <c r="K103" s="81">
        <f t="shared" si="11"/>
        <v>6.1489569931495326E-2</v>
      </c>
      <c r="L103" s="78">
        <f t="shared" si="6"/>
        <v>6.1489569931495236E-2</v>
      </c>
    </row>
    <row r="104" spans="1:12">
      <c r="A104" s="76" t="s">
        <v>193</v>
      </c>
      <c r="B104" s="76">
        <v>28</v>
      </c>
      <c r="C104" s="77">
        <v>1.1331694544358604</v>
      </c>
      <c r="D104" s="78">
        <f t="shared" si="7"/>
        <v>6.3146384868080482E-2</v>
      </c>
      <c r="E104" s="78">
        <v>0.75261029589534179</v>
      </c>
      <c r="F104" s="78">
        <v>0.33128196982890901</v>
      </c>
      <c r="G104" s="79">
        <f t="shared" si="8"/>
        <v>3.1600000000000003E-2</v>
      </c>
      <c r="H104" s="80">
        <v>0.13300492064676894</v>
      </c>
      <c r="I104" s="78">
        <f t="shared" si="9"/>
        <v>2.3068000000000002E-2</v>
      </c>
      <c r="J104" s="79">
        <f t="shared" si="10"/>
        <v>0.24738970410465821</v>
      </c>
      <c r="K104" s="81">
        <f t="shared" si="11"/>
        <v>5.3231405094573442E-2</v>
      </c>
      <c r="L104" s="78">
        <f t="shared" si="6"/>
        <v>5.323140509457347E-2</v>
      </c>
    </row>
    <row r="105" spans="1:12">
      <c r="A105" s="76" t="s">
        <v>194</v>
      </c>
      <c r="B105" s="76">
        <v>17</v>
      </c>
      <c r="C105" s="77">
        <v>0.96476122265455444</v>
      </c>
      <c r="D105" s="78">
        <f t="shared" si="7"/>
        <v>5.600587584055311E-2</v>
      </c>
      <c r="E105" s="78">
        <v>0.56082858823209181</v>
      </c>
      <c r="F105" s="78">
        <v>0.48157678673096171</v>
      </c>
      <c r="G105" s="79">
        <f t="shared" si="8"/>
        <v>3.5780000000000006E-2</v>
      </c>
      <c r="H105" s="80">
        <v>3.262065647674383E-2</v>
      </c>
      <c r="I105" s="78">
        <f t="shared" si="9"/>
        <v>2.6119400000000004E-2</v>
      </c>
      <c r="J105" s="79">
        <f t="shared" si="10"/>
        <v>0.43917141176790819</v>
      </c>
      <c r="K105" s="81">
        <f t="shared" si="11"/>
        <v>4.2880590052889918E-2</v>
      </c>
      <c r="L105" s="78">
        <f t="shared" si="6"/>
        <v>4.2880590052889911E-2</v>
      </c>
    </row>
    <row r="106" spans="1:12">
      <c r="A106" s="76" t="s">
        <v>195</v>
      </c>
      <c r="B106" s="76">
        <v>82</v>
      </c>
      <c r="C106" s="77">
        <v>1.083144981802276</v>
      </c>
      <c r="D106" s="78">
        <f t="shared" si="7"/>
        <v>6.1025347228416509E-2</v>
      </c>
      <c r="E106" s="78">
        <v>0.91969185427087574</v>
      </c>
      <c r="F106" s="78">
        <v>0.40529263124804915</v>
      </c>
      <c r="G106" s="79">
        <f t="shared" si="8"/>
        <v>3.5780000000000006E-2</v>
      </c>
      <c r="H106" s="80">
        <v>5.2943230333509006E-2</v>
      </c>
      <c r="I106" s="78">
        <f t="shared" si="9"/>
        <v>2.6119400000000004E-2</v>
      </c>
      <c r="J106" s="79">
        <f t="shared" si="10"/>
        <v>8.0308145729124258E-2</v>
      </c>
      <c r="K106" s="81">
        <f t="shared" si="11"/>
        <v>5.822211533158371E-2</v>
      </c>
      <c r="L106" s="78">
        <f t="shared" si="6"/>
        <v>5.8222115331583613E-2</v>
      </c>
    </row>
    <row r="107" spans="1:12">
      <c r="A107" s="76" t="s">
        <v>196</v>
      </c>
      <c r="B107" s="76">
        <v>42</v>
      </c>
      <c r="C107" s="77">
        <v>0.84601845269966747</v>
      </c>
      <c r="D107" s="78">
        <f t="shared" si="7"/>
        <v>5.0971182394465901E-2</v>
      </c>
      <c r="E107" s="78">
        <v>0.49879502288711863</v>
      </c>
      <c r="F107" s="78">
        <v>0.38672324243299799</v>
      </c>
      <c r="G107" s="79">
        <f t="shared" si="8"/>
        <v>3.1600000000000003E-2</v>
      </c>
      <c r="H107" s="80">
        <v>5.8553602769707593E-2</v>
      </c>
      <c r="I107" s="78">
        <f t="shared" si="9"/>
        <v>2.3068000000000002E-2</v>
      </c>
      <c r="J107" s="79">
        <f t="shared" si="10"/>
        <v>0.50120497711288137</v>
      </c>
      <c r="K107" s="81">
        <f t="shared" si="11"/>
        <v>3.6985968501071068E-2</v>
      </c>
      <c r="L107" s="78">
        <f t="shared" si="6"/>
        <v>3.6985968501071165E-2</v>
      </c>
    </row>
    <row r="108" spans="1:12">
      <c r="A108" s="76" t="s">
        <v>197</v>
      </c>
      <c r="B108" s="76">
        <v>16</v>
      </c>
      <c r="C108" s="77">
        <v>0.99735259995367076</v>
      </c>
      <c r="D108" s="78">
        <f t="shared" si="7"/>
        <v>5.7387750238035641E-2</v>
      </c>
      <c r="E108" s="78">
        <v>0.79376826685239887</v>
      </c>
      <c r="F108" s="78">
        <v>0.248828343980245</v>
      </c>
      <c r="G108" s="79">
        <f t="shared" si="8"/>
        <v>2.5000000000000001E-2</v>
      </c>
      <c r="H108" s="80">
        <v>8.2259892736233187E-2</v>
      </c>
      <c r="I108" s="78">
        <f t="shared" si="9"/>
        <v>1.8249999999999999E-2</v>
      </c>
      <c r="J108" s="79">
        <f t="shared" si="10"/>
        <v>0.20623173314760113</v>
      </c>
      <c r="K108" s="81">
        <f t="shared" si="11"/>
        <v>4.9316304174947617E-2</v>
      </c>
      <c r="L108" s="78">
        <f t="shared" si="6"/>
        <v>4.9316304174947589E-2</v>
      </c>
    </row>
    <row r="109" spans="1:12">
      <c r="A109" s="76" t="s">
        <v>198</v>
      </c>
      <c r="B109" s="76">
        <v>17</v>
      </c>
      <c r="C109" s="77">
        <v>0.79107781492951179</v>
      </c>
      <c r="D109" s="78">
        <f t="shared" si="7"/>
        <v>4.8641699353011304E-2</v>
      </c>
      <c r="E109" s="78">
        <v>0.81368564085307982</v>
      </c>
      <c r="F109" s="78">
        <v>0.2833532543819442</v>
      </c>
      <c r="G109" s="79">
        <f t="shared" si="8"/>
        <v>3.1600000000000003E-2</v>
      </c>
      <c r="H109" s="80">
        <v>0.14397951073532894</v>
      </c>
      <c r="I109" s="78">
        <f t="shared" si="9"/>
        <v>2.3068000000000002E-2</v>
      </c>
      <c r="J109" s="79">
        <f t="shared" si="10"/>
        <v>0.18631435914692018</v>
      </c>
      <c r="K109" s="81">
        <f t="shared" si="11"/>
        <v>4.3876951947038993E-2</v>
      </c>
      <c r="L109" s="78">
        <f t="shared" si="6"/>
        <v>4.3876951947039E-2</v>
      </c>
    </row>
    <row r="110" spans="1:12">
      <c r="A110" s="76" t="s">
        <v>199</v>
      </c>
      <c r="B110" s="76">
        <v>4</v>
      </c>
      <c r="C110" s="77">
        <v>0.73244696143394594</v>
      </c>
      <c r="D110" s="78">
        <f t="shared" si="7"/>
        <v>4.6155751164799308E-2</v>
      </c>
      <c r="E110" s="78">
        <v>0.83376814920623576</v>
      </c>
      <c r="F110" s="78">
        <v>0.16394179419082858</v>
      </c>
      <c r="G110" s="79">
        <f t="shared" si="8"/>
        <v>2.5000000000000001E-2</v>
      </c>
      <c r="H110" s="80">
        <v>0.1734089072943138</v>
      </c>
      <c r="I110" s="78">
        <f t="shared" si="9"/>
        <v>1.8249999999999999E-2</v>
      </c>
      <c r="J110" s="79">
        <f t="shared" si="10"/>
        <v>0.16623185079376424</v>
      </c>
      <c r="K110" s="81">
        <f t="shared" si="11"/>
        <v>4.1516926500884475E-2</v>
      </c>
      <c r="L110" s="78">
        <f t="shared" si="6"/>
        <v>4.1516926500884566E-2</v>
      </c>
    </row>
    <row r="111" spans="1:12">
      <c r="A111" s="76" t="s">
        <v>200</v>
      </c>
      <c r="B111" s="76">
        <v>34</v>
      </c>
      <c r="C111" s="77">
        <v>1.4387162765613046</v>
      </c>
      <c r="D111" s="78">
        <f t="shared" si="7"/>
        <v>7.6101570126199322E-2</v>
      </c>
      <c r="E111" s="78">
        <v>0.79203087632146718</v>
      </c>
      <c r="F111" s="78">
        <v>0.32991773770474286</v>
      </c>
      <c r="G111" s="79">
        <f t="shared" si="8"/>
        <v>3.1600000000000003E-2</v>
      </c>
      <c r="H111" s="80">
        <v>0.16041445405580973</v>
      </c>
      <c r="I111" s="78">
        <f t="shared" si="9"/>
        <v>2.3068000000000002E-2</v>
      </c>
      <c r="J111" s="79">
        <f t="shared" si="10"/>
        <v>0.20796912367853282</v>
      </c>
      <c r="K111" s="81">
        <f t="shared" si="11"/>
        <v>6.5072225021509639E-2</v>
      </c>
      <c r="L111" s="78">
        <f t="shared" si="6"/>
        <v>6.5072225021509666E-2</v>
      </c>
    </row>
    <row r="112" spans="1:12">
      <c r="A112" s="76" t="s">
        <v>201</v>
      </c>
      <c r="B112" s="76">
        <v>16</v>
      </c>
      <c r="C112" s="77">
        <v>0.89179459508359282</v>
      </c>
      <c r="D112" s="78">
        <f t="shared" si="7"/>
        <v>5.2912090831544335E-2</v>
      </c>
      <c r="E112" s="78">
        <v>0.59095817429826114</v>
      </c>
      <c r="F112" s="78">
        <v>0.18828200758700916</v>
      </c>
      <c r="G112" s="79">
        <f t="shared" si="8"/>
        <v>2.5000000000000001E-2</v>
      </c>
      <c r="H112" s="80">
        <v>9.7519335584020567E-2</v>
      </c>
      <c r="I112" s="78">
        <f t="shared" si="9"/>
        <v>1.8249999999999999E-2</v>
      </c>
      <c r="J112" s="79">
        <f t="shared" si="10"/>
        <v>0.40904182570173886</v>
      </c>
      <c r="K112" s="81">
        <f t="shared" si="11"/>
        <v>3.8733845915169936E-2</v>
      </c>
      <c r="L112" s="78">
        <f t="shared" si="6"/>
        <v>3.873384591517004E-2</v>
      </c>
    </row>
    <row r="113" spans="1:12">
      <c r="A113" s="76" t="s">
        <v>202</v>
      </c>
      <c r="B113" s="76">
        <v>14</v>
      </c>
      <c r="C113" s="77">
        <v>0.76530503730492327</v>
      </c>
      <c r="D113" s="78">
        <f t="shared" si="7"/>
        <v>4.754893358172875E-2</v>
      </c>
      <c r="E113" s="78">
        <v>0.74437186312624304</v>
      </c>
      <c r="F113" s="78">
        <v>0.270944618528484</v>
      </c>
      <c r="G113" s="79">
        <f t="shared" si="8"/>
        <v>3.1600000000000003E-2</v>
      </c>
      <c r="H113" s="80">
        <v>0.10006141016199609</v>
      </c>
      <c r="I113" s="78">
        <f t="shared" si="9"/>
        <v>2.3068000000000002E-2</v>
      </c>
      <c r="J113" s="79">
        <f t="shared" si="10"/>
        <v>0.25562813687375696</v>
      </c>
      <c r="K113" s="81">
        <f t="shared" si="11"/>
        <v>4.1290918141301244E-2</v>
      </c>
      <c r="L113" s="78">
        <f t="shared" si="6"/>
        <v>4.1290918141301258E-2</v>
      </c>
    </row>
    <row r="114" spans="1:12" s="57" customFormat="1">
      <c r="A114" s="82" t="s">
        <v>203</v>
      </c>
      <c r="B114" s="82">
        <v>7229</v>
      </c>
      <c r="C114" s="83">
        <v>1.0946791380880656</v>
      </c>
      <c r="D114" s="84">
        <f t="shared" si="7"/>
        <v>6.1514395454933986E-2</v>
      </c>
      <c r="E114" s="85">
        <v>0.71384438923857707</v>
      </c>
      <c r="F114" s="85">
        <v>0.41013744101840538</v>
      </c>
      <c r="G114" s="86">
        <f t="shared" si="8"/>
        <v>3.5780000000000006E-2</v>
      </c>
      <c r="H114" s="87">
        <v>7.0462315217597118E-2</v>
      </c>
      <c r="I114" s="84">
        <f t="shared" si="9"/>
        <v>2.6119400000000004E-2</v>
      </c>
      <c r="J114" s="86">
        <f t="shared" si="10"/>
        <v>0.28615561076142293</v>
      </c>
      <c r="K114" s="88">
        <f t="shared" si="11"/>
        <v>5.1385918912629565E-2</v>
      </c>
      <c r="L114" s="85">
        <f t="shared" si="6"/>
        <v>5.1385918912629558E-2</v>
      </c>
    </row>
    <row r="115" spans="1:12" s="57" customFormat="1">
      <c r="A115" s="82" t="s">
        <v>204</v>
      </c>
      <c r="B115" s="82">
        <v>5619</v>
      </c>
      <c r="C115" s="83">
        <v>1.1485779483113083</v>
      </c>
      <c r="D115" s="89">
        <f t="shared" si="7"/>
        <v>6.3799705008399474E-2</v>
      </c>
      <c r="E115" s="85">
        <v>0.8333731262614098</v>
      </c>
      <c r="F115" s="85">
        <v>0.44991555819827722</v>
      </c>
      <c r="G115" s="90">
        <f t="shared" si="8"/>
        <v>3.5780000000000006E-2</v>
      </c>
      <c r="H115" s="87">
        <v>6.0083275714545151E-2</v>
      </c>
      <c r="I115" s="89">
        <f t="shared" si="9"/>
        <v>2.6119400000000004E-2</v>
      </c>
      <c r="J115" s="90">
        <f t="shared" si="10"/>
        <v>0.1666268737385902</v>
      </c>
      <c r="K115" s="91">
        <f t="shared" si="11"/>
        <v>5.7521153583333325E-2</v>
      </c>
      <c r="L115" s="85">
        <f t="shared" si="6"/>
        <v>5.7521153583333318E-2</v>
      </c>
    </row>
  </sheetData>
  <mergeCells count="9">
    <mergeCell ref="B7:G7"/>
    <mergeCell ref="B1:G1"/>
    <mergeCell ref="B2:G2"/>
    <mergeCell ref="I2:I6"/>
    <mergeCell ref="B3:E3"/>
    <mergeCell ref="F3:G3"/>
    <mergeCell ref="B4:G4"/>
    <mergeCell ref="B5:G5"/>
    <mergeCell ref="B6:G6"/>
  </mergeCells>
  <hyperlinks>
    <hyperlink ref="B2" r:id="rId1" xr:uid="{D4114E91-A6DE-4181-924D-7F32B0452840}"/>
    <hyperlink ref="B4" r:id="rId2" xr:uid="{6472C26A-BA3E-463C-9638-80CEAF590A82}"/>
    <hyperlink ref="B5" r:id="rId3" display="http://www.stern.nyu.edu/~adamodar/New_Home_Page/data.html" xr:uid="{F4F950E6-C5BC-4BEF-B900-891ADC895449}"/>
    <hyperlink ref="B6" r:id="rId4" display="http://www.stern.nyu.edu/~adamodar/pc/datasets/indname.xls" xr:uid="{30D4DB32-4738-417A-9E00-BC26B1C4B8A0}"/>
    <hyperlink ref="B7" r:id="rId5" display="http://www.stern.nyu.edu/~adamodar/New_Home_Page/datafile/variable.htm" xr:uid="{C61F9F8C-833C-4C63-A083-D1B3543D886D}"/>
    <hyperlink ref="I2:I6" r:id="rId6" display="YouTube Video Guide" xr:uid="{F496910C-6181-4E22-AC58-00815EC40712}"/>
  </hyperlinks>
  <pageMargins left="0.75" right="0.75" top="1" bottom="1" header="0.5" footer="0.5"/>
  <pageSetup orientation="portrait" horizontalDpi="4294967292" verticalDpi="4294967292"/>
  <headerFooter alignWithMargins="0"/>
  <tableParts count="1"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Chapter 2</vt:lpstr>
      <vt:lpstr>Chapter 4</vt:lpstr>
      <vt:lpstr>Project NPV Evaluation Template</vt:lpstr>
      <vt:lpstr>Tornado Diagram Template</vt:lpstr>
      <vt:lpstr>WACC Calculation Template</vt:lpstr>
      <vt:lpstr>WACC_Industry Averages 2022</vt:lpstr>
    </vt:vector>
  </TitlesOfParts>
  <Company>Ross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Faley, Tim</dc:creator>
  <cp:lastModifiedBy>Tim Faley</cp:lastModifiedBy>
  <cp:lastPrinted>2022-04-06T17:00:05Z</cp:lastPrinted>
  <dcterms:created xsi:type="dcterms:W3CDTF">2007-10-29T17:37:12Z</dcterms:created>
  <dcterms:modified xsi:type="dcterms:W3CDTF">2022-05-04T20:37:19Z</dcterms:modified>
</cp:coreProperties>
</file>